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Administrador\Desktop\DANIEL 2020\CONTROL INTERNO\"/>
    </mc:Choice>
  </mc:AlternateContent>
  <bookViews>
    <workbookView xWindow="0" yWindow="0" windowWidth="20490" windowHeight="7755" activeTab="3"/>
  </bookViews>
  <sheets>
    <sheet name="Instructivo" sheetId="2" r:id="rId1"/>
    <sheet name="Estado SCI" sheetId="1" r:id="rId2"/>
    <sheet name="Análisis Resultados" sheetId="3" r:id="rId3"/>
    <sheet name="Conclusión" sheetId="5" r:id="rId4"/>
    <sheet name="Hoja1" sheetId="6" state="hidden" r:id="rId5"/>
  </sheets>
  <externalReferences>
    <externalReference r:id="rId6"/>
  </externalReferences>
  <definedNames>
    <definedName name="_xlnm._FilterDatabase" localSheetId="4" hidden="1">Hoja1!$A$1:$K$45</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59" i="1" l="1"/>
  <c r="J58" i="1"/>
  <c r="J57" i="1"/>
  <c r="J56" i="1"/>
  <c r="J55" i="1"/>
  <c r="J54" i="1"/>
  <c r="J53" i="1"/>
  <c r="J52" i="1"/>
  <c r="J51" i="1"/>
  <c r="J50" i="1"/>
  <c r="I59" i="1"/>
  <c r="I58" i="1"/>
  <c r="I57" i="1"/>
  <c r="I56" i="1"/>
  <c r="I55" i="1"/>
  <c r="I54" i="1"/>
  <c r="I53" i="1"/>
  <c r="I52" i="1"/>
  <c r="I51" i="1"/>
  <c r="I50" i="1"/>
  <c r="I49" i="1"/>
  <c r="I48" i="1"/>
  <c r="I47" i="1"/>
  <c r="I46" i="1"/>
  <c r="I45" i="1"/>
  <c r="I44" i="1"/>
  <c r="I43" i="1"/>
  <c r="I42" i="1"/>
  <c r="I41" i="1"/>
  <c r="I40" i="1"/>
  <c r="I39" i="1"/>
  <c r="I38" i="1"/>
  <c r="I37" i="1"/>
  <c r="I36" i="1"/>
  <c r="I35" i="1"/>
  <c r="I34" i="1"/>
  <c r="I33" i="1"/>
  <c r="I32" i="1"/>
  <c r="I31" i="1"/>
  <c r="I30" i="1"/>
  <c r="I29" i="1"/>
  <c r="I28" i="1"/>
  <c r="I27" i="1"/>
  <c r="I26" i="1"/>
  <c r="I25" i="1"/>
  <c r="I24" i="1"/>
  <c r="I23" i="1"/>
  <c r="I22" i="1"/>
  <c r="I21" i="1"/>
  <c r="I20" i="1"/>
  <c r="I19" i="1"/>
  <c r="I18" i="1"/>
  <c r="I17" i="1"/>
  <c r="I16" i="1"/>
  <c r="A59" i="1" l="1"/>
  <c r="A58" i="1"/>
  <c r="A57" i="1"/>
  <c r="A56" i="1"/>
  <c r="A55" i="1"/>
  <c r="A54" i="1"/>
  <c r="A53" i="1"/>
  <c r="A52" i="1"/>
  <c r="A51" i="1"/>
  <c r="A50" i="1"/>
  <c r="A49" i="1"/>
  <c r="A48" i="1"/>
  <c r="A47" i="1"/>
  <c r="A46" i="1"/>
  <c r="A45" i="1"/>
  <c r="A44" i="1"/>
  <c r="A43" i="1"/>
  <c r="A42" i="1"/>
  <c r="A41" i="1"/>
  <c r="A40" i="1"/>
  <c r="A39" i="1"/>
  <c r="J37" i="1"/>
  <c r="L37" i="1" s="1"/>
  <c r="J36" i="1"/>
  <c r="L36" i="1" s="1"/>
  <c r="J35" i="1"/>
  <c r="L35" i="1" s="1"/>
  <c r="J34" i="1"/>
  <c r="L34" i="1" s="1"/>
  <c r="J33" i="1"/>
  <c r="L33" i="1" s="1"/>
  <c r="J32" i="1"/>
  <c r="L32" i="1" s="1"/>
  <c r="A38" i="1"/>
  <c r="A37" i="1"/>
  <c r="A36" i="1"/>
  <c r="A35" i="1"/>
  <c r="A34" i="1"/>
  <c r="A33" i="1"/>
  <c r="A32" i="1"/>
  <c r="L59" i="1"/>
  <c r="L58" i="1"/>
  <c r="L57" i="1"/>
  <c r="L56" i="1"/>
  <c r="L55" i="1"/>
  <c r="L54" i="1"/>
  <c r="L53" i="1"/>
  <c r="L52" i="1"/>
  <c r="L51" i="1"/>
  <c r="L50" i="1"/>
  <c r="J49" i="1"/>
  <c r="L49" i="1" s="1"/>
  <c r="J48" i="1"/>
  <c r="L48" i="1" s="1"/>
  <c r="J47" i="1"/>
  <c r="L47" i="1" s="1"/>
  <c r="J46" i="1"/>
  <c r="L46" i="1" s="1"/>
  <c r="J45" i="1"/>
  <c r="L45" i="1" s="1"/>
  <c r="J44" i="1"/>
  <c r="L44" i="1" s="1"/>
  <c r="J43" i="1"/>
  <c r="L43" i="1" s="1"/>
  <c r="J42" i="1"/>
  <c r="L42" i="1" s="1"/>
  <c r="J41" i="1"/>
  <c r="L41" i="1" s="1"/>
  <c r="J40" i="1"/>
  <c r="L40" i="1" s="1"/>
  <c r="J39" i="1"/>
  <c r="L39" i="1" s="1"/>
  <c r="J38" i="1"/>
  <c r="L38" i="1" s="1"/>
  <c r="J31" i="1"/>
  <c r="L31" i="1" s="1"/>
  <c r="J30" i="1"/>
  <c r="L30" i="1" s="1"/>
  <c r="J29" i="1"/>
  <c r="L29" i="1" s="1"/>
  <c r="J28" i="1"/>
  <c r="L28" i="1" s="1"/>
  <c r="J27" i="1"/>
  <c r="L27" i="1" s="1"/>
  <c r="J26" i="1"/>
  <c r="L26" i="1" s="1"/>
  <c r="J25" i="1"/>
  <c r="L25" i="1" s="1"/>
  <c r="J24" i="1"/>
  <c r="L24" i="1" s="1"/>
  <c r="J23" i="1"/>
  <c r="L23" i="1" s="1"/>
  <c r="J22" i="1"/>
  <c r="L22" i="1" s="1"/>
  <c r="J21" i="1"/>
  <c r="L21" i="1" s="1"/>
  <c r="J20" i="1"/>
  <c r="L20" i="1" s="1"/>
  <c r="J19" i="1"/>
  <c r="L19" i="1" s="1"/>
  <c r="J18" i="1"/>
  <c r="L18" i="1" s="1"/>
  <c r="J17" i="1"/>
  <c r="L17" i="1" s="1"/>
  <c r="J16" i="1"/>
  <c r="L16" i="1" s="1"/>
  <c r="A31" i="1" l="1"/>
  <c r="A30" i="1"/>
  <c r="A29" i="1"/>
  <c r="A28" i="1"/>
  <c r="A27" i="1"/>
  <c r="A26" i="1"/>
  <c r="A25" i="1"/>
  <c r="A24" i="1"/>
  <c r="A23" i="1"/>
  <c r="A22" i="1"/>
  <c r="A21" i="1"/>
  <c r="A20" i="1"/>
  <c r="A19" i="1"/>
  <c r="A18" i="1"/>
  <c r="A17" i="1"/>
  <c r="A16" i="1"/>
  <c r="I3" i="6" l="1"/>
  <c r="J3" i="6" s="1"/>
  <c r="I11" i="6"/>
  <c r="J11" i="6" s="1"/>
  <c r="I19" i="6"/>
  <c r="J19" i="6" s="1"/>
  <c r="I25" i="6"/>
  <c r="J25" i="6" s="1"/>
  <c r="I33" i="6"/>
  <c r="J33" i="6" s="1"/>
  <c r="I41" i="6"/>
  <c r="J41" i="6" s="1"/>
  <c r="B29" i="6"/>
  <c r="I4" i="6"/>
  <c r="J4" i="6" s="1"/>
  <c r="I12" i="6"/>
  <c r="J12" i="6" s="1"/>
  <c r="I20" i="6"/>
  <c r="J20" i="6" s="1"/>
  <c r="I26" i="6"/>
  <c r="J26" i="6" s="1"/>
  <c r="I34" i="6"/>
  <c r="J34" i="6" s="1"/>
  <c r="I42" i="6"/>
  <c r="J42" i="6" s="1"/>
  <c r="B36" i="6"/>
  <c r="I5" i="6"/>
  <c r="J5" i="6" s="1"/>
  <c r="I13" i="6"/>
  <c r="J13" i="6" s="1"/>
  <c r="I27" i="6"/>
  <c r="J27" i="6" s="1"/>
  <c r="I35" i="6"/>
  <c r="J35" i="6" s="1"/>
  <c r="I43" i="6"/>
  <c r="J43" i="6" s="1"/>
  <c r="B2" i="6"/>
  <c r="I6" i="6"/>
  <c r="J6" i="6" s="1"/>
  <c r="I14" i="6"/>
  <c r="J14" i="6" s="1"/>
  <c r="I21" i="6"/>
  <c r="J21" i="6" s="1"/>
  <c r="I28" i="6"/>
  <c r="J28" i="6" s="1"/>
  <c r="I36" i="6"/>
  <c r="J36" i="6" s="1"/>
  <c r="I44" i="6"/>
  <c r="J44" i="6" s="1"/>
  <c r="I7" i="6"/>
  <c r="J7" i="6" s="1"/>
  <c r="I15" i="6"/>
  <c r="J15" i="6" s="1"/>
  <c r="I22" i="6"/>
  <c r="J22" i="6" s="1"/>
  <c r="I29" i="6"/>
  <c r="J29" i="6" s="1"/>
  <c r="I37" i="6"/>
  <c r="J37" i="6" s="1"/>
  <c r="I45" i="6"/>
  <c r="J45" i="6" s="1"/>
  <c r="I8" i="6"/>
  <c r="J8" i="6" s="1"/>
  <c r="I16" i="6"/>
  <c r="J16" i="6" s="1"/>
  <c r="I23" i="6"/>
  <c r="J23" i="6" s="1"/>
  <c r="I30" i="6"/>
  <c r="J30" i="6" s="1"/>
  <c r="I38" i="6"/>
  <c r="J38" i="6" s="1"/>
  <c r="I2" i="6"/>
  <c r="J2" i="6" s="1"/>
  <c r="I9" i="6"/>
  <c r="J9" i="6" s="1"/>
  <c r="I17" i="6"/>
  <c r="J17" i="6" s="1"/>
  <c r="I31" i="6"/>
  <c r="J31" i="6" s="1"/>
  <c r="I39" i="6"/>
  <c r="J39" i="6" s="1"/>
  <c r="B14" i="6"/>
  <c r="I10" i="6"/>
  <c r="J10" i="6" s="1"/>
  <c r="I18" i="6"/>
  <c r="J18" i="6" s="1"/>
  <c r="I24" i="6"/>
  <c r="J24" i="6" s="1"/>
  <c r="I32" i="6"/>
  <c r="J32" i="6" s="1"/>
  <c r="I40" i="6"/>
  <c r="J40" i="6" s="1"/>
  <c r="B24" i="6"/>
  <c r="G41" i="6"/>
  <c r="G40" i="6"/>
  <c r="G32" i="6"/>
  <c r="G24" i="6"/>
  <c r="G18" i="6"/>
  <c r="G10" i="6"/>
  <c r="G2" i="6"/>
  <c r="F10" i="6"/>
  <c r="F18" i="6"/>
  <c r="F24" i="6"/>
  <c r="F32" i="6"/>
  <c r="F40" i="6"/>
  <c r="G29" i="6"/>
  <c r="G7" i="6"/>
  <c r="F27" i="6"/>
  <c r="G28" i="6"/>
  <c r="G14" i="6"/>
  <c r="F14" i="6"/>
  <c r="F36" i="6"/>
  <c r="G27" i="6"/>
  <c r="G5" i="6"/>
  <c r="F22" i="6"/>
  <c r="F45" i="6"/>
  <c r="G34" i="6"/>
  <c r="G20" i="6"/>
  <c r="F8" i="6"/>
  <c r="F30" i="6"/>
  <c r="G33" i="6"/>
  <c r="G11" i="6"/>
  <c r="F17" i="6"/>
  <c r="G39" i="6"/>
  <c r="G31" i="6"/>
  <c r="G17" i="6"/>
  <c r="G9" i="6"/>
  <c r="F3" i="6"/>
  <c r="F11" i="6"/>
  <c r="F19" i="6"/>
  <c r="F25" i="6"/>
  <c r="F33" i="6"/>
  <c r="F41" i="6"/>
  <c r="G37" i="6"/>
  <c r="G15" i="6"/>
  <c r="F5" i="6"/>
  <c r="F43" i="6"/>
  <c r="G44" i="6"/>
  <c r="G21" i="6"/>
  <c r="F6" i="6"/>
  <c r="F28" i="6"/>
  <c r="G35" i="6"/>
  <c r="G13" i="6"/>
  <c r="F7" i="6"/>
  <c r="F29" i="6"/>
  <c r="G26" i="6"/>
  <c r="G4" i="6"/>
  <c r="F23" i="6"/>
  <c r="F2" i="6"/>
  <c r="G19" i="6"/>
  <c r="F9" i="6"/>
  <c r="F39" i="6"/>
  <c r="G38" i="6"/>
  <c r="G30" i="6"/>
  <c r="G23" i="6"/>
  <c r="G16" i="6"/>
  <c r="G8" i="6"/>
  <c r="F4" i="6"/>
  <c r="F12" i="6"/>
  <c r="F20" i="6"/>
  <c r="F26" i="6"/>
  <c r="F34" i="6"/>
  <c r="F42" i="6"/>
  <c r="G45" i="6"/>
  <c r="G22" i="6"/>
  <c r="F13" i="6"/>
  <c r="F35" i="6"/>
  <c r="G36" i="6"/>
  <c r="G6" i="6"/>
  <c r="F21" i="6"/>
  <c r="F44" i="6"/>
  <c r="G43" i="6"/>
  <c r="F15" i="6"/>
  <c r="F37" i="6"/>
  <c r="G42" i="6"/>
  <c r="G12" i="6"/>
  <c r="F16" i="6"/>
  <c r="F38" i="6"/>
  <c r="G25" i="6"/>
  <c r="G3" i="6"/>
  <c r="F31" i="6"/>
  <c r="K24" i="6" l="1"/>
  <c r="G30" i="5" s="1"/>
  <c r="K29" i="6"/>
  <c r="K36" i="6"/>
  <c r="K14" i="6"/>
  <c r="K9" i="6"/>
  <c r="K6" i="6"/>
  <c r="K35" i="6"/>
  <c r="K19" i="6"/>
  <c r="K23" i="6"/>
  <c r="K40" i="6"/>
  <c r="K10" i="6"/>
  <c r="K7" i="6"/>
  <c r="K44" i="6"/>
  <c r="K20" i="6"/>
  <c r="K38" i="6"/>
  <c r="K3" i="6"/>
  <c r="K8" i="6"/>
  <c r="K30" i="6"/>
  <c r="K37" i="6"/>
  <c r="K25" i="6"/>
  <c r="K45" i="6"/>
  <c r="K11" i="6"/>
  <c r="K4" i="6"/>
  <c r="K12" i="6"/>
  <c r="K32" i="6"/>
  <c r="K41" i="6"/>
  <c r="K17" i="6"/>
  <c r="K15" i="6"/>
  <c r="K28" i="6"/>
  <c r="K39" i="6"/>
  <c r="K27" i="6"/>
  <c r="K5" i="6"/>
  <c r="K33" i="6"/>
  <c r="K42" i="6"/>
  <c r="K22" i="6"/>
  <c r="K2" i="6"/>
  <c r="K31" i="6"/>
  <c r="K13" i="6"/>
  <c r="K34" i="6"/>
  <c r="K43" i="6"/>
  <c r="K18" i="6"/>
  <c r="K16" i="6"/>
  <c r="K26" i="6"/>
  <c r="K21" i="6"/>
  <c r="H37" i="6"/>
  <c r="H17" i="6"/>
  <c r="H30" i="6"/>
  <c r="H2" i="6"/>
  <c r="H10" i="6"/>
  <c r="H44" i="6"/>
  <c r="H6" i="6"/>
  <c r="H7" i="6"/>
  <c r="H42" i="6"/>
  <c r="H36" i="6"/>
  <c r="H11" i="6"/>
  <c r="H5" i="6"/>
  <c r="H29" i="6"/>
  <c r="H18" i="6"/>
  <c r="H12" i="6"/>
  <c r="H38" i="6"/>
  <c r="H13" i="6"/>
  <c r="H33" i="6"/>
  <c r="H27" i="6"/>
  <c r="H24" i="6"/>
  <c r="H3" i="6"/>
  <c r="H8" i="6"/>
  <c r="H26" i="6"/>
  <c r="H39" i="6"/>
  <c r="H19" i="6"/>
  <c r="H35" i="6"/>
  <c r="H15" i="6"/>
  <c r="H9" i="6"/>
  <c r="H32" i="6"/>
  <c r="H40" i="6"/>
  <c r="H22" i="6"/>
  <c r="H25" i="6"/>
  <c r="H45" i="6"/>
  <c r="H20" i="6"/>
  <c r="H14" i="6"/>
  <c r="H43" i="6"/>
  <c r="H16" i="6"/>
  <c r="H23" i="6"/>
  <c r="H4" i="6"/>
  <c r="H21" i="6"/>
  <c r="H31" i="6"/>
  <c r="H34" i="6"/>
  <c r="H28" i="6"/>
  <c r="H41" i="6"/>
  <c r="E30" i="5" l="1"/>
  <c r="E26" i="5"/>
  <c r="G26" i="5"/>
  <c r="E28" i="5"/>
  <c r="G28" i="5"/>
  <c r="G34" i="5"/>
  <c r="E34" i="5"/>
  <c r="E32" i="5"/>
  <c r="G32" i="5"/>
  <c r="F56" i="3"/>
  <c r="F48" i="3"/>
  <c r="F40" i="3"/>
  <c r="F32" i="3"/>
  <c r="F24" i="3"/>
  <c r="F55" i="3"/>
  <c r="F47" i="3"/>
  <c r="F39" i="3"/>
  <c r="F31" i="3"/>
  <c r="F23" i="3"/>
  <c r="F34" i="3"/>
  <c r="F62" i="3"/>
  <c r="F54" i="3"/>
  <c r="F46" i="3"/>
  <c r="F38" i="3"/>
  <c r="F30" i="3"/>
  <c r="F22" i="3"/>
  <c r="F53" i="3"/>
  <c r="F45" i="3"/>
  <c r="F37" i="3"/>
  <c r="F29" i="3"/>
  <c r="F57" i="3"/>
  <c r="F33" i="3"/>
  <c r="F61" i="3"/>
  <c r="F21" i="3"/>
  <c r="F58" i="3"/>
  <c r="F50" i="3"/>
  <c r="F26" i="3"/>
  <c r="F60" i="3"/>
  <c r="F52" i="3"/>
  <c r="F44" i="3"/>
  <c r="F36" i="3"/>
  <c r="F28" i="3"/>
  <c r="F20" i="3"/>
  <c r="F25" i="3"/>
  <c r="F59" i="3"/>
  <c r="F51" i="3"/>
  <c r="F43" i="3"/>
  <c r="F35" i="3"/>
  <c r="F27" i="3"/>
  <c r="F19" i="3"/>
  <c r="F42" i="3"/>
  <c r="F49" i="3"/>
  <c r="F41" i="3"/>
  <c r="E56" i="3"/>
  <c r="E40" i="3"/>
  <c r="E55" i="3"/>
  <c r="E47" i="3"/>
  <c r="E39" i="3"/>
  <c r="E31" i="3"/>
  <c r="E23" i="3"/>
  <c r="E51" i="3"/>
  <c r="E27" i="3"/>
  <c r="E58" i="3"/>
  <c r="E26" i="3"/>
  <c r="E57" i="3"/>
  <c r="E25" i="3"/>
  <c r="E24" i="3"/>
  <c r="E62" i="3"/>
  <c r="E54" i="3"/>
  <c r="E46" i="3"/>
  <c r="E38" i="3"/>
  <c r="E30" i="3"/>
  <c r="E22" i="3"/>
  <c r="E60" i="3"/>
  <c r="E20" i="3"/>
  <c r="E43" i="3"/>
  <c r="E50" i="3"/>
  <c r="E34" i="3"/>
  <c r="E49" i="3"/>
  <c r="E48" i="3"/>
  <c r="E61" i="3"/>
  <c r="E53" i="3"/>
  <c r="E45" i="3"/>
  <c r="E37" i="3"/>
  <c r="E29" i="3"/>
  <c r="E21" i="3"/>
  <c r="E52" i="3"/>
  <c r="E44" i="3"/>
  <c r="E36" i="3"/>
  <c r="E28" i="3"/>
  <c r="E59" i="3"/>
  <c r="E35" i="3"/>
  <c r="E19" i="3"/>
  <c r="E42" i="3"/>
  <c r="E41" i="3"/>
  <c r="E33" i="3"/>
  <c r="E32" i="3"/>
  <c r="I61" i="3" l="1"/>
  <c r="G61" i="3"/>
  <c r="I59" i="3"/>
  <c r="G59" i="3"/>
  <c r="I45" i="3"/>
  <c r="G45" i="3"/>
  <c r="G20" i="3"/>
  <c r="I20" i="3"/>
  <c r="G24" i="3"/>
  <c r="I24" i="3"/>
  <c r="I31" i="3"/>
  <c r="G31" i="3"/>
  <c r="I32" i="3"/>
  <c r="G32" i="3"/>
  <c r="G28" i="3"/>
  <c r="I28" i="3"/>
  <c r="I53" i="3"/>
  <c r="G53" i="3"/>
  <c r="I60" i="3"/>
  <c r="G60" i="3"/>
  <c r="G25" i="3"/>
  <c r="I25" i="3"/>
  <c r="I39" i="3"/>
  <c r="G39" i="3"/>
  <c r="G22" i="3"/>
  <c r="I22" i="3"/>
  <c r="I57" i="3"/>
  <c r="G57" i="3"/>
  <c r="I47" i="3"/>
  <c r="G47" i="3"/>
  <c r="I33" i="3"/>
  <c r="G33" i="3"/>
  <c r="I44" i="3"/>
  <c r="G44" i="3"/>
  <c r="I48" i="3"/>
  <c r="G48" i="3"/>
  <c r="I30" i="3"/>
  <c r="G30" i="3"/>
  <c r="G26" i="3"/>
  <c r="I26" i="3"/>
  <c r="I55" i="3"/>
  <c r="G55" i="3"/>
  <c r="I41" i="3"/>
  <c r="G41" i="3"/>
  <c r="I52" i="3"/>
  <c r="G52" i="3"/>
  <c r="I49" i="3"/>
  <c r="G49" i="3"/>
  <c r="I38" i="3"/>
  <c r="G38" i="3"/>
  <c r="I58" i="3"/>
  <c r="G58" i="3"/>
  <c r="I42" i="3"/>
  <c r="G42" i="3"/>
  <c r="G21" i="3"/>
  <c r="I21" i="3"/>
  <c r="I34" i="3"/>
  <c r="G34" i="3"/>
  <c r="I46" i="3"/>
  <c r="G46" i="3"/>
  <c r="I27" i="3"/>
  <c r="G27" i="3"/>
  <c r="I40" i="3"/>
  <c r="G40" i="3"/>
  <c r="I36" i="3"/>
  <c r="G36" i="3"/>
  <c r="I19" i="3"/>
  <c r="G19" i="3"/>
  <c r="G29" i="3"/>
  <c r="I29" i="3"/>
  <c r="I50" i="3"/>
  <c r="G50" i="3"/>
  <c r="I54" i="3"/>
  <c r="G54" i="3"/>
  <c r="I51" i="3"/>
  <c r="G51" i="3"/>
  <c r="I56" i="3"/>
  <c r="G56" i="3"/>
  <c r="I35" i="3"/>
  <c r="G35" i="3"/>
  <c r="I37" i="3"/>
  <c r="G37" i="3"/>
  <c r="I43" i="3"/>
  <c r="G43" i="3"/>
  <c r="I62" i="3"/>
  <c r="G62" i="3"/>
  <c r="G23" i="3"/>
  <c r="I23" i="3"/>
  <c r="J41" i="3" l="1"/>
  <c r="J53" i="3"/>
  <c r="J46" i="3"/>
  <c r="J31" i="3"/>
  <c r="J19" i="3"/>
  <c r="M8" i="5" l="1"/>
</calcChain>
</file>

<file path=xl/sharedStrings.xml><?xml version="1.0" encoding="utf-8"?>
<sst xmlns="http://schemas.openxmlformats.org/spreadsheetml/2006/main" count="490" uniqueCount="221">
  <si>
    <t>EVALUACIÓN INDEPENDIENTE SISTEMA DE CONTROL INTERNO
Entidades Pequeñas
(instrucciones para su diligenciamiento)</t>
  </si>
  <si>
    <t>Teniendo en cuenta que con la expedición del Decreto 1499 de 2017 “Por medio del cual se modifica el Decreto 1083 de 2015, Decreto Único Reglamentario del Sector Función Pública, en lo relacionado con el Sistema de Gestión establecido en el artículo 133 de la Ley 1753 de 2015”, se crea un solo Sistema de Gestión y se alinea con el Sistema de Control Interno, hoy todas las entidades públicas requieren actualizar y/o implementar el Modelo Integrado de Planeación y Gestión MIPG, modelo que incorpora el Modelo Estándar de Control Interno MECI a través de la 7a dimensión del mismo.  Esta estructura requiere de un análisis articulado frente al desarrollo de las políticas de gestión y desempeño contenidas en el modelo y su efectividad en relación con la estructura de control, este útlimo, aspecto esecial para garantizar el buen manejo de los recursos, que las metas y objetivos se cumplan y se mejore la prestación del servicio a los usuarios, ejes fundamentales para la generación de valor público.
Teniendo en cuenta lo anterior y dada la necesidad de dar cumplimiento a la dispuesto en el articulo 156 del Decreto 2106 de 2019, el presente formatobusca que las entidades cuenten con una herramienta para evaluar sus Sistemas de Control Interno de manera integral y permitirle al Jefe de Control Interno o quien haga sus veces llevar a cabo el informe de evaluación independiente sobre el mismo para su publicación cada seis (6) meses, en el sitio web de la entidad. La estructura propuesta es diferencial para aquellas entidades de municipios de 6a categoría (Personerías y Concejos Municipales) que son entidades con 1 y hasta 5 servidores en sus plantas de personal. Estas entidades deben tener en cuenta que de acuerdo con el parágrafo del artículo ARTÍCULO 2.2.22.2.1. del Decreto 1499 de 2017, las políticas de gestión y desempeño contenidas en el Modelo Integrado de Planeación y Gestión MIPG, deben ser aplicadas acorde con las normas que las regulan, por lo que deben analizar dichas políticas e implementarlas en armonía con el MECI.</t>
  </si>
  <si>
    <t>Orientaciones Generales</t>
  </si>
  <si>
    <r>
      <t xml:space="preserve">El archivo contiene las siguientes hojas:
 -  1 </t>
    </r>
    <r>
      <rPr>
        <b/>
        <sz val="11"/>
        <rFont val="Arial Narrow"/>
        <family val="2"/>
      </rPr>
      <t xml:space="preserve">Pestaña que desarrolla la estructura para evaluar el estado del Sistema de Control Interno: </t>
    </r>
    <r>
      <rPr>
        <sz val="11"/>
        <rFont val="Arial Narrow"/>
        <family val="2"/>
      </rPr>
      <t xml:space="preserve">Se desagrega en </t>
    </r>
    <r>
      <rPr>
        <sz val="10"/>
        <rFont val="Arial Narrow"/>
        <family val="2"/>
      </rPr>
      <t>"Ambiente de Control", "Evaluación de riesgos", "Actividades de control", "Información y Comunicación", y " Actividades de Monitoreo", componentes actuales del Modelo Estándar de Control Interno MECI. La estructura es la siguiente para el diligenciamiento:</t>
    </r>
  </si>
  <si>
    <t>Columna</t>
  </si>
  <si>
    <t>Descripción</t>
  </si>
  <si>
    <t>Componente del MECI asociado</t>
  </si>
  <si>
    <t>Esta columna define los componentes del MECI.</t>
  </si>
  <si>
    <t>Lineamiento General por Componente</t>
  </si>
  <si>
    <t>En esta columna establece el lineamientos general para cada uno de los componentes del MECI</t>
  </si>
  <si>
    <t>Requerimiento Asociado al Componente</t>
  </si>
  <si>
    <t>Se muestran una serie de preguntas con 3 opciones de respuesta así:
1. SI
2.NO
3. EN PROCESO</t>
  </si>
  <si>
    <t>Evidencia de Seguimiento al Control</t>
  </si>
  <si>
    <t>Establezca actividades adelantadas de aplicación del documento o elemento antes identificado (esto cuando se responde SI o bien EN PROCESO)</t>
  </si>
  <si>
    <r>
      <t xml:space="preserve"> -</t>
    </r>
    <r>
      <rPr>
        <sz val="11"/>
        <rFont val="Arial Narrow"/>
        <family val="2"/>
      </rPr>
      <t xml:space="preserve"> </t>
    </r>
    <r>
      <rPr>
        <b/>
        <sz val="11"/>
        <rFont val="Arial Narrow"/>
        <family val="2"/>
      </rPr>
      <t>Análisis de Resultados:</t>
    </r>
    <r>
      <rPr>
        <sz val="10"/>
        <rFont val="Arial Narrow"/>
        <family val="2"/>
      </rPr>
      <t xml:space="preserve"> Esta hoja permite consolidar los resultados para cada componente evaluado.</t>
    </r>
  </si>
  <si>
    <t xml:space="preserve">Clasificación </t>
  </si>
  <si>
    <t>Observaciones del Control</t>
  </si>
  <si>
    <t>Mantenimiento del Control</t>
  </si>
  <si>
    <t>Existe requerimiento pero se requiere actividades  dirigidas a su mantenimiento dentro del marco de las lineas de defensa.</t>
  </si>
  <si>
    <t>Oportunidad de Mejora</t>
  </si>
  <si>
    <t>Se encuentra en proceso, pero requiere continuar con acciones dirigidas a contar con dicho aspecto de control</t>
  </si>
  <si>
    <t xml:space="preserve">Deficiencia del Control 
</t>
  </si>
  <si>
    <t>No se encuentra el aspecto  por lo tanto la entidad debera generar acciones dirigidas a que se cumpla con el requerimiento .</t>
  </si>
  <si>
    <r>
      <t xml:space="preserve"> -</t>
    </r>
    <r>
      <rPr>
        <sz val="11"/>
        <rFont val="Arial Narrow"/>
        <family val="2"/>
      </rPr>
      <t xml:space="preserve"> </t>
    </r>
    <r>
      <rPr>
        <b/>
        <sz val="11"/>
        <rFont val="Arial Narrow"/>
        <family val="2"/>
      </rPr>
      <t>Conclusiones:</t>
    </r>
    <r>
      <rPr>
        <sz val="10"/>
        <rFont val="Arial Narrow"/>
        <family val="2"/>
      </rPr>
      <t xml:space="preserve"> Esta hoja permite establecer el estado del Sistema de Control Interno evaluado, información a partir de la cual se definen las acciones de mejora correspondientes. Esta hoja será el informe para publicación en página web, o bien para ubicar en un lugar visible en la sede de la entidad (esto para aquellas que no cuentan con conectividad o página web en operación).</t>
    </r>
  </si>
  <si>
    <t>MEDICION ESTADO DEL SISTEMA DE CONTROL INTERNO EN LA ENTIDAD</t>
  </si>
  <si>
    <t xml:space="preserve">No. </t>
  </si>
  <si>
    <t>Literal</t>
  </si>
  <si>
    <t>Requerimiento asociado al componente</t>
  </si>
  <si>
    <t>Seguimiento al control (Si, No, En proceso)</t>
  </si>
  <si>
    <t>Evidencia de seguimiento al control
(Establezca actividades adelantadas de aplicación del documento o elemento antes identificado, esto cuando se responde SI o bien EN PROCESO</t>
  </si>
  <si>
    <t>Evaluación</t>
  </si>
  <si>
    <t>1</t>
  </si>
  <si>
    <t>AMBIENTE DE CONTROL</t>
  </si>
  <si>
    <t>El ambiente de control institucional está integrado por todas esas condiciones mínimas que debe garantizar cualquier entidad pública para el ejercicio del control interno. Para el caso de su entidad indique si se cuenta con:</t>
  </si>
  <si>
    <t>a</t>
  </si>
  <si>
    <t>Documento interno o adopción del MECI actualizado</t>
  </si>
  <si>
    <t>No</t>
  </si>
  <si>
    <t>b</t>
  </si>
  <si>
    <t>Un documento tal como un código de ética, integridad u otro que formalice los estándares de conducta, los principios institucionales o los valores del servicio público</t>
  </si>
  <si>
    <t>Si</t>
  </si>
  <si>
    <t>c</t>
  </si>
  <si>
    <t>Planes, programas y proyectos de acuerdo con las normas que rigen y atendiendo con su propósito fundamental institucional (misión)</t>
  </si>
  <si>
    <t>d</t>
  </si>
  <si>
    <t>Una estructura organizacional formalizada (organigrama)</t>
  </si>
  <si>
    <t>e</t>
  </si>
  <si>
    <t>Un manual de funciones que describa los empleos de la entidad</t>
  </si>
  <si>
    <t>f</t>
  </si>
  <si>
    <t>La documentación de sus procesos y procedimientos o bien una lista de actividades principales que permitan conocer el estado de su gestión</t>
  </si>
  <si>
    <t>g</t>
  </si>
  <si>
    <t>Vinculación de los servidores públicos de acuerdo con el marco normativo que les rige (carrera administrativa, libre nombramiento y remoción, entre otros)</t>
  </si>
  <si>
    <t>h</t>
  </si>
  <si>
    <t>Procesos de inducción, capacitación y bienestar social para sus servidores públicos, de manera directa o en asociación con otras entidades municipales</t>
  </si>
  <si>
    <t>i</t>
  </si>
  <si>
    <t>Evaluación a los servidores públicos de acuerdo con el marco normativo que le rige</t>
  </si>
  <si>
    <t>j</t>
  </si>
  <si>
    <t>Procesos de desvinculación de servidores de acuerdo con lo previsto en la Constitución Política y las leyes</t>
  </si>
  <si>
    <t>k</t>
  </si>
  <si>
    <t>Mecanismos de rendición de cuentas a la ciudadanía</t>
  </si>
  <si>
    <t>l</t>
  </si>
  <si>
    <t>Presentación oportuna de sus informes de gestión a las autoridades competentes</t>
  </si>
  <si>
    <t>2</t>
  </si>
  <si>
    <t>EVALUACION DEL RIESGO</t>
  </si>
  <si>
    <t>Toda entidad debe identificar, evaluar y gestionar eventos potenciales, tanto internos como externos, que puedan afectar el logro de los objetivos institucionales. Para el caso de su entidad indique si se cuenta con:</t>
  </si>
  <si>
    <t>Identificación de cambios en su entorno que pueden generar consecuencias negativas en su gestión</t>
  </si>
  <si>
    <t>Identificación de aquellos problemas o aspectos que pueden afectar el cumplimiento de los planes de la entidad y en general su gestión institucional (riesgos)</t>
  </si>
  <si>
    <t>Identificación  de los riesgos relacionados con posibles actos de corrupción en el ejercicio de sus funciones</t>
  </si>
  <si>
    <t>Si su capacidad e infraestructura lo permite, identificación de riesgos asociados a las tecnologías de la información y las comunicaciones</t>
  </si>
  <si>
    <t>3</t>
  </si>
  <si>
    <t>Los líderes de los programas, proyectos, o procesos de la entidad  junto con sus equipos de trabajo:</t>
  </si>
  <si>
    <t>Hacen seguimiento a los problemas (riesgos)  que pueden afectar el cumplimiento de sus procesos, programas o proyectos a cargo</t>
  </si>
  <si>
    <t>Informan de manera periódica a quien corresponda sobre el desempeño de las actividades de gestión de riesgos</t>
  </si>
  <si>
    <t>Identifican deficiencias en las maneras de  controlar los riesgos o problemas en sus procesos, programas o proyectos, y propone los ajustes necesarios</t>
  </si>
  <si>
    <t>4</t>
  </si>
  <si>
    <t>Para el manejo de los problemas que afectan el cumplimiento de las metas u objetivos institucionales (riesgos), el jefe de control interno o quien haga sus veces, ha podido evidenciar si en la entidad:</t>
  </si>
  <si>
    <t>Se definen espacios de reunión para conocerlos y proponer acciones para su solución</t>
  </si>
  <si>
    <t>Cada líder del equipo autónomamente toma las acciones para solucionarlos.</t>
  </si>
  <si>
    <t>En proceso</t>
  </si>
  <si>
    <t>Solamente hasta que un organismo de control actúa se definen acciones de mejora.</t>
  </si>
  <si>
    <t>5</t>
  </si>
  <si>
    <t>ACTIVIDADES DE CONTROL</t>
  </si>
  <si>
    <t>Una vez identificados los problemas que afectan el cumplimiento de los planes de la entidad o su gestión institucional, la entidad debe diseñar los controles o mecanismos para darles tratamiento. Para el caso de su entidad indique si se cuenta con:</t>
  </si>
  <si>
    <t>La definición de acciones o actividades para para dar tratamiento a los problemas identificados (mitigación de riesgos), incluyendo aquellos asociados a posibles actos de corrupción</t>
  </si>
  <si>
    <t>Mecanismos de verificación de si se están o no mitigando los riesgos, o en su defecto, elaboración de planes de contingencia para subsanar sus consecuencias</t>
  </si>
  <si>
    <t>Planes, acciones o estrategias que permitan subsanar las consecuencias de la materialización de los riesgos, cuando se presentan</t>
  </si>
  <si>
    <t>Un documento que consolide  los riesgos  y el tratamiento que se les da, incluyendo aquellos que conllevan posibles actos de corrupción y si la capacidad e infraestructura lo permite, los asociados con las tecnologías de la información y las comunicaciones</t>
  </si>
  <si>
    <t>Un plan anticorrupción y de servicio al ciudadano con los temas que le aplican, publicado en algún medio para conocimiento de la ciudadanía</t>
  </si>
  <si>
    <t>6</t>
  </si>
  <si>
    <t>INFORMACION Y COMUNICACIÓN</t>
  </si>
  <si>
    <t>Las entidades deben procurar, de acuerdo con sus propias capacidades internas, que la información y la comunicación que requiere para su gestión y  control interno fluya de manera clara.  Acorde con lo anterior, indique si se cuenta con:</t>
  </si>
  <si>
    <t>Responsables de la información institucional</t>
  </si>
  <si>
    <t>Canales de comunicación con los ciudadanos</t>
  </si>
  <si>
    <t>Canales de comunicación o mecanismos de reporte de información a otros organismos gubernamentales o de control</t>
  </si>
  <si>
    <t xml:space="preserve">Lineamientos para dar tratamiento a la información de carácter reservado </t>
  </si>
  <si>
    <t>Identificación de información que produce en el marco de su gestión (Para los ciudadanos, organismos de control, organismos gubernamentales, entre otros)</t>
  </si>
  <si>
    <t>Identificación de información necesaria para la operación de la entidad (normograma, presupuesto, talento humano, infraestructura física y tecnológica)</t>
  </si>
  <si>
    <t>Si su capacidad e infraestructura lo permite, tecnologías de la información y las comunicaciones que soporten estos procesos</t>
  </si>
  <si>
    <t>7</t>
  </si>
  <si>
    <t>ACTIVIDADES DE MONITOREO</t>
  </si>
  <si>
    <t>Las entidades deben valorar: la eficiencia y eficacia de su gestión y la efectividad del control interno de la entidad pública con el propósito de detectar desviaciones y generar recomendaciones para la mejora. Para el caso de su entidad indique si se cuenta con:</t>
  </si>
  <si>
    <t>Mecanismos de evaluación de la gestión (cronogramas, indicadores, listas de chequeo u otros)</t>
  </si>
  <si>
    <t>Algún mecanismo para monitorear o supervisar el sistema de control interno institucional, ya sea por parte del representante legal, o del área de control interno (si la entidad cuenta con ella), o bien a través del Comité departamental o municipal de Auditoría.</t>
  </si>
  <si>
    <t>Medidas correctivas en caso de detectarse deficiencias en los ejercicios de evaluación, seguimiento o auditoría</t>
  </si>
  <si>
    <t>Seguimiento a los planes de mejoramiento suscritos con instancias de control internas o externas</t>
  </si>
  <si>
    <t>8</t>
  </si>
  <si>
    <t>¿La entidad ha solicitado hacer parte del Comité Municipal de Auditoría, a efectos de contar con un escenario para compartir buenas prácticas en materia de control interno, así como analizar la viabilidad de contar como mínimo con un proceso auditor en la vigencia?</t>
  </si>
  <si>
    <t>La entidad participa en el  Comité Municipal de Auditoría?</t>
  </si>
  <si>
    <t>9</t>
  </si>
  <si>
    <t>El jefe de control interno o quien haga sus veces, ha podido evidenciar si en la entidad el manejo que se ha hecho a los problemas que afectan el cumplimiento de sus metas y objetivos (riesgos) le ha permitido:</t>
  </si>
  <si>
    <t>Evitar que los problemas (riesgos) obstaculicen el cumplimiento de los objetivos.</t>
  </si>
  <si>
    <t>Controlar los puntos críticos en los procesos.</t>
  </si>
  <si>
    <t>Diseñar acciones adecuadas para controlar los problemas que afectan el cumplimiento de las metas y objetivos institucionales (riesgos).</t>
  </si>
  <si>
    <t>Ejecutar las acciones de acuerdo a como se diseñaron previamente.</t>
  </si>
  <si>
    <t>No se gestionan los problemas que afectan el cumplimiento de las funciones y objetivos institucionales(riesgos).</t>
  </si>
  <si>
    <t>ANÁLISIS DE RESULTADOS PARA LA TOMA DE DECISIONES</t>
  </si>
  <si>
    <t>Se encuentra en proceso, pero requiere continuar con acciones dirigidas a contar con dicho aspecto de control.</t>
  </si>
  <si>
    <t>Se encuentra presente  y funcionando, pero requiere mejoras frente a su diseño, ya que  opera de manera efectiva</t>
  </si>
  <si>
    <t>No se encuentra el aspecto  por lo tanto la entidad debera generar acciones dirigidas a que se cumpla con el requerimiento.</t>
  </si>
  <si>
    <t>RESULTADOS</t>
  </si>
  <si>
    <t>FUENTE DEL ANALISIS</t>
  </si>
  <si>
    <t xml:space="preserve">Seguimiento al control </t>
  </si>
  <si>
    <t>OBSERVACIONES DEL CONTROL</t>
  </si>
  <si>
    <t>NIVEL DE CUMPLIMIENTO-ASPECTOS PARTICULARES POR COMPONENTE</t>
  </si>
  <si>
    <t>NIVEL DE CUMPLIMIENTO COMPONENTE</t>
  </si>
  <si>
    <t>componente</t>
  </si>
  <si>
    <t>Nombre de la Entidad:</t>
  </si>
  <si>
    <t>Periodo Evaluado:</t>
  </si>
  <si>
    <t>Estado del sistema de Control Interno de la entidad</t>
  </si>
  <si>
    <t>Conclusión general sobre la evaluación del Sistema de Control Interno</t>
  </si>
  <si>
    <t>¿Están todos los componentes operando juntos y de manera integrada? (Si / en proceso / No) (Justifique su respuesta):</t>
  </si>
  <si>
    <t>¿Es efectivo el sistema de control interno para los objetivos evaluados? (Si/No) (Justifique su respuesta):</t>
  </si>
  <si>
    <t>La entidad cuenta dentro de su Sistema de Control Interno, con una institucionalidad (Líneas de defensa)  que le permita la toma de decisiones frente al control (Si/No) (Justifique su respuesta):</t>
  </si>
  <si>
    <t>Componente</t>
  </si>
  <si>
    <t>¿se esta cumpliendo los requerimientos ?</t>
  </si>
  <si>
    <t>Nivel de Cumplimiento componente</t>
  </si>
  <si>
    <r>
      <rPr>
        <b/>
        <u/>
        <sz val="20"/>
        <color theme="0"/>
        <rFont val="Arial"/>
        <family val="2"/>
      </rPr>
      <t xml:space="preserve"> Estado actual:</t>
    </r>
    <r>
      <rPr>
        <b/>
        <sz val="20"/>
        <color theme="0"/>
        <rFont val="Arial"/>
        <family val="2"/>
      </rPr>
      <t xml:space="preserve"> Explicacion de las Debilidades y/o Fortalezas encontradas en cada componente</t>
    </r>
  </si>
  <si>
    <t>EVALUCION DEL RIESGO</t>
  </si>
  <si>
    <t>ACTIVIDADES DEL CONTROL</t>
  </si>
  <si>
    <t xml:space="preserve">ACTIVIDADES DE MONITOREO </t>
  </si>
  <si>
    <t xml:space="preserve">Evaluación </t>
  </si>
  <si>
    <t>Puntaje</t>
  </si>
  <si>
    <t xml:space="preserve">Orden </t>
  </si>
  <si>
    <t>Nivel de cumplimiento -Aaspectos particulares por componente</t>
  </si>
  <si>
    <t xml:space="preserve">Promedios </t>
  </si>
  <si>
    <t>1a</t>
  </si>
  <si>
    <t>1b</t>
  </si>
  <si>
    <t>1c</t>
  </si>
  <si>
    <t>1d</t>
  </si>
  <si>
    <t>1e</t>
  </si>
  <si>
    <t>1f</t>
  </si>
  <si>
    <t>1g</t>
  </si>
  <si>
    <t>1h</t>
  </si>
  <si>
    <t>1i</t>
  </si>
  <si>
    <t>1j</t>
  </si>
  <si>
    <t>1k</t>
  </si>
  <si>
    <t>1l</t>
  </si>
  <si>
    <t>2a</t>
  </si>
  <si>
    <t>La identificación de cambios en su entorno que pueden generar consecuencias negativas en su gestión</t>
  </si>
  <si>
    <t>2b</t>
  </si>
  <si>
    <t>La identificación de aquellos problemas o aspectos que pueden afectar el cumplimiento de los planes de la entidad y en general su gestión institucional (riesgos)</t>
  </si>
  <si>
    <t>2c</t>
  </si>
  <si>
    <t>La identificación  de los riesgos relacionados con posibles actos de corrupción en el ejercicio de sus funciones</t>
  </si>
  <si>
    <t>2d</t>
  </si>
  <si>
    <t>3a</t>
  </si>
  <si>
    <t>3b</t>
  </si>
  <si>
    <t>3c</t>
  </si>
  <si>
    <t>4a</t>
  </si>
  <si>
    <t>4b</t>
  </si>
  <si>
    <t>4c</t>
  </si>
  <si>
    <t>5a</t>
  </si>
  <si>
    <t>5b</t>
  </si>
  <si>
    <t>5c</t>
  </si>
  <si>
    <t>5d</t>
  </si>
  <si>
    <t>5e</t>
  </si>
  <si>
    <t>6a</t>
  </si>
  <si>
    <t>6b</t>
  </si>
  <si>
    <t>6c</t>
  </si>
  <si>
    <t>6d</t>
  </si>
  <si>
    <t>6e</t>
  </si>
  <si>
    <t>El jefe de control interno o quien haga sus veces, ha podido evidenciar si en la entidad si el manejo que se ha hecho a los problemas que afectan el cumplimiento de sus metas y objetivos (riesgos) le ha permitido:</t>
  </si>
  <si>
    <t>6f</t>
  </si>
  <si>
    <t>6g</t>
  </si>
  <si>
    <t>7a</t>
  </si>
  <si>
    <t>7d</t>
  </si>
  <si>
    <t>7f</t>
  </si>
  <si>
    <t>7g</t>
  </si>
  <si>
    <t>8h</t>
  </si>
  <si>
    <t>9a</t>
  </si>
  <si>
    <t>9b</t>
  </si>
  <si>
    <t>9c</t>
  </si>
  <si>
    <t>9d</t>
  </si>
  <si>
    <t>9e</t>
  </si>
  <si>
    <t>el Manual de Funciones en el que se describe cada empleo, actividades, requisitos para el desempeño del mismo y factor salarial.</t>
  </si>
  <si>
    <t>a traves de la pagina web, correo elecrónico e informes a traves de los medios de comunicación.</t>
  </si>
  <si>
    <t>Se esta implementado el sistema de control interno a traves de un asesor externo, ya que la entidad no cuenta en su planta con un Director de Control Interno</t>
  </si>
  <si>
    <t>Mediante acto Administrativo se adopta e implementa el MECI</t>
  </si>
  <si>
    <t>Mediadnte acto Administraivo se expide el Codigo de etica  e integridad de la empresa y se realizan reuniones para su socializacion con toda la planta de empleados.</t>
  </si>
  <si>
    <t>Se diseño Organigrama</t>
  </si>
  <si>
    <t>Se realizan reuniones bimestrales con la planta de personal de la empresa, con el objeto de evaluar el estado de los procesos  y planes institucionaes e implementar acciones de mejoras.</t>
  </si>
  <si>
    <t>Se exige a cada trabajador y contratista el cumlimiento de los requisitos legales para la firma del respectivo contrato, teniendo en cuenta la naturaeza juridica de la empresa y su regimen contractual.</t>
  </si>
  <si>
    <t>se realizan y presentan en debida forma los informes requeridos por la CRA, Superintendencia de Servicios Públicos, Contraloria y Funcion Pública.</t>
  </si>
  <si>
    <t>Se elabobó el Plan anticorrupción y atención al Ciudadano para la vigencia 2020</t>
  </si>
  <si>
    <t>Manual de procesos con el que se busca mejorar los procedimientos de la empresa a traves de actividades de autodiagnostico.</t>
  </si>
  <si>
    <t>Rendición de cuentas ante el Concejo Municipal las cuales son televisadas para conocimiento de todos los suscriptores usuarios de los servicios brindados por la empresa.</t>
  </si>
  <si>
    <t>Se presenta declración de bienes y rentas al SIGEP en los terminos requeridos.</t>
  </si>
  <si>
    <t>Se realiza de manera trimestral el monitoreo de los riesgos de corrupcion.</t>
  </si>
  <si>
    <t xml:space="preserve">Plan Anticorrupcion, el cual ha venido socializando con cada una de los trabajadores de la empresa. </t>
  </si>
  <si>
    <t>Se expide Manual de gestión documetal en el que se determina el personal encargado de la información y su gestión.</t>
  </si>
  <si>
    <t>Se cuenta con Manual  de administración de riesgos, en el que se logran identificar los riesgos y posibles actos de corrupcion</t>
  </si>
  <si>
    <t>Se cuenta con un plan de medición de tiempo de los procesos.</t>
  </si>
  <si>
    <t>Se cuenta con el plan estrategico para la materialización de las politicas y misiones institucionales.</t>
  </si>
  <si>
    <t>De acuerdo a los resultado de la evaluacion realizada para este periodo, el modelo MIPG se viene implementando y se encuentra documentado, por ello todo los componentes  se encuentra operando juntos y de manera integrada pero no de manera efectiva al no evidenciarse el seguimiento, es por ello que se debe fortalecer en cada uno de los lineamientos de los componentes especialmente los de  Evaluacion de Riesgos y Monitoreo debido a que estan por debajo del 35%,  indicando con ello  que el nivel de cumplimiento es deficiente, pues los demas componente  se encuentran en un nivel aceptable y en tal sentido pueden progresivamente mejorar.</t>
  </si>
  <si>
    <t xml:space="preserve">El Sistema de Control Interno  requiere ser fortalecido desde su Linea Estrategica hasta su Tercera Lineas de Defensa y establecer la responsabilidades en cada una de ellas; ademas se hace necesario mayor compromiso por parte de la Gerencia como encargado de dicho sistema,  para que este  sea efectivo y logre los objetivo evaluados.  </t>
  </si>
  <si>
    <t>Las Empresas Públicas de Caramanta cuenta con un comite de Control Interno, pero no esta bien definida su linea de defensa, con la que se pueda lograr hacer el seguimiento, evaluación y control a cada uno de los procesos, por lo tanto se requiere que los miebros de dicho comite se empoderen de la actividad, fortalecidos por la Gerencia para que los resultados en el control de los riesgos permitan la toma de decisiones.</t>
  </si>
  <si>
    <t>DEBILIDADES:  - No se evidencia seguimiento al mapa de riesgos.
                                 - Existe debilidad en el analisis del entorno interno y externo en la difinicion de los programas o proyectos suceptibles de posibles actos de Corrupción.
                                -  No se monitorean los riesgos aceptados, sus condiciones,  su pertinencia para sostenerlos o ajustarlo.
FORTALEZAS:  - Se cuenta con un Manual de Adminsitración de riesgos.
                                 - se cuenta con plan estrategico.
                                - Se cuenta con Manual anticorrupcion y el mismo ha sido socializado con el personal.</t>
  </si>
  <si>
    <t xml:space="preserve">DEBILIDADES:  - Existe deficiencia en la verificación de la ejecución de controles.
                                - La empresa no cuenta con infraestructura tecnologica .
                               - La entidad no evalúa la actualización de procesos, procedimientos, políticas de operación, instructivos, manuales u otras herramientas para garantizar la
                                aplicación adecuada de las principales actividades de control.  
FORTALEZAS: -  Se cuenta con plan anticorrupcion y el mismo ha sido socializado con el personal.
                                -  Sd presenta la declaración de bienes 
                                                                    </t>
  </si>
  <si>
    <t xml:space="preserve">DEBILIDADES: - No existe proceso definido de inducción del personal nuevo.
                                  - No existe programa de capacitaciones ni de bienestar social. 
                                  - No  se realizan evaluaciones de desempeño de los trabajadores.
FORTALEZAS: - Se ecuentra implementado el MECI.
                                   - Se cuenta con el Codigo de etica e integridad y el mismo ha sido socializado con los miembros de la empresa.
                                  - Se cuenta con el manual de procesos y manual de funciones mismos que son conocidos por el personal  desde su vinculación.
                                  - Se presentan de manera oprtuna cada uno de los informes y requrimientos de los entes de control.
                                                                                                                                                                                                </t>
  </si>
  <si>
    <t xml:space="preserve">DEBILIDADES: - No se cumple con la funcion del plan anual de auditorias.
                                  - Existe deficiencia en el cumplimiento de las acciones incluidas en los Planes de mejoramiento.
                                 -  Existe deficiencia en  el Esquema de Líneas de Defensa,  no han implementado procedimientos de monitoreo continuo como
                                     parte de las  actividades de la 2a línea de defensa.
FORTALEZA:  -  la empresa a traves de la asesoria externa de control interno viene adelantado planes y estrategias para la implemegtación del MIPG y en tal sentido se ha adelatando el proceso de documentación del proceso, esto es con el fortalecimientos de los manuales y comites.
                                </t>
  </si>
  <si>
    <t>DEBILIDADES:  - No se tienen caracterizados los usuarios y grupos de valor-
                                - La administracion no ha desarrollado e implementado actividades de control sobre la confidencialidad y reserva de la información.
                                 - No se cuenta  con adecuados sistemas informacion  .  
FORTALEZAS: -  Se cuenta con un manual de gestión documnetal que permite determinar el responsable de la información.
                                 - Se hace monitoreo a las PQR y se emiten respuestas oportundas a las mismas.
                                 -Se ccuenta con canales externos definidos de comunicación, asociados con el tipo de información a divulgar,(pagina web
                                    redes sociales).
                                 -Se cuenta con canales para la denuncia anonima de posibles irregularidades, a traves del buzón de sugerencias y la pagina web institucional.
                                -Anualmente se realizan encuestas de satisfacción a una muestra representativa.</t>
  </si>
  <si>
    <t>se cuenta con el plan de auditoria.</t>
  </si>
  <si>
    <t xml:space="preserve">EMPRESAS PUBLICAS DE CARAMANTA </t>
  </si>
  <si>
    <t>PRIMER SEMESTRE DEL AÑO 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</si>
</sst>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d/mm/yyyy;@"/>
  </numFmts>
  <fonts count="59" x14ac:knownFonts="1">
    <font>
      <sz val="11"/>
      <color theme="1"/>
      <name val="Calibri"/>
      <family val="2"/>
      <scheme val="minor"/>
    </font>
    <font>
      <sz val="11"/>
      <name val="Arial"/>
      <family val="2"/>
    </font>
    <font>
      <b/>
      <sz val="12"/>
      <name val="Arial"/>
      <family val="2"/>
    </font>
    <font>
      <sz val="11"/>
      <color theme="1"/>
      <name val="Calibri"/>
      <family val="2"/>
      <scheme val="minor"/>
    </font>
    <font>
      <sz val="11"/>
      <color theme="0"/>
      <name val="Calibri"/>
      <family val="2"/>
      <scheme val="minor"/>
    </font>
    <font>
      <b/>
      <sz val="12"/>
      <color theme="0"/>
      <name val="Arial"/>
      <family val="2"/>
    </font>
    <font>
      <b/>
      <sz val="20"/>
      <color theme="0"/>
      <name val="Arial Narrow"/>
      <family val="2"/>
    </font>
    <font>
      <sz val="11"/>
      <color theme="1"/>
      <name val="Arial Narrow"/>
      <family val="2"/>
    </font>
    <font>
      <sz val="11"/>
      <color theme="0"/>
      <name val="Arial Narrow"/>
      <family val="2"/>
    </font>
    <font>
      <b/>
      <sz val="18"/>
      <color theme="0"/>
      <name val="Arial"/>
      <family val="2"/>
    </font>
    <font>
      <sz val="20"/>
      <color rgb="FFFF0000"/>
      <name val="Arial"/>
      <family val="2"/>
    </font>
    <font>
      <b/>
      <sz val="12"/>
      <color rgb="FFFF0000"/>
      <name val="Arial"/>
      <family val="2"/>
    </font>
    <font>
      <b/>
      <sz val="10"/>
      <color rgb="FFFF0000"/>
      <name val="Arial"/>
      <family val="2"/>
    </font>
    <font>
      <b/>
      <sz val="10"/>
      <color theme="1"/>
      <name val="Arial"/>
      <family val="2"/>
    </font>
    <font>
      <b/>
      <sz val="16"/>
      <color theme="1"/>
      <name val="Arial"/>
      <family val="2"/>
    </font>
    <font>
      <b/>
      <i/>
      <sz val="10"/>
      <name val="Arial"/>
      <family val="2"/>
    </font>
    <font>
      <b/>
      <i/>
      <sz val="10"/>
      <color theme="1"/>
      <name val="Arial"/>
      <family val="2"/>
    </font>
    <font>
      <b/>
      <sz val="16"/>
      <color theme="0"/>
      <name val="Arial Narrow"/>
      <family val="2"/>
    </font>
    <font>
      <b/>
      <sz val="12"/>
      <color theme="0"/>
      <name val="Arial Narrow"/>
      <family val="2"/>
    </font>
    <font>
      <b/>
      <sz val="10"/>
      <color theme="0"/>
      <name val="Arial Narrow"/>
      <family val="2"/>
    </font>
    <font>
      <sz val="12"/>
      <color theme="1"/>
      <name val="Arial"/>
      <family val="2"/>
    </font>
    <font>
      <sz val="10"/>
      <color theme="1"/>
      <name val="Calibri"/>
      <family val="2"/>
      <scheme val="minor"/>
    </font>
    <font>
      <sz val="10"/>
      <color theme="0"/>
      <name val="Arial Narrow"/>
      <family val="2"/>
    </font>
    <font>
      <sz val="14"/>
      <color theme="0"/>
      <name val="Arial"/>
      <family val="2"/>
    </font>
    <font>
      <sz val="10"/>
      <color theme="1"/>
      <name val="Arial Narrow"/>
      <family val="2"/>
    </font>
    <font>
      <b/>
      <sz val="11"/>
      <name val="Arial Narrow"/>
      <family val="2"/>
    </font>
    <font>
      <sz val="10"/>
      <name val="Arial Narrow"/>
      <family val="2"/>
    </font>
    <font>
      <sz val="16"/>
      <color theme="0"/>
      <name val="Calibri"/>
      <family val="2"/>
      <scheme val="minor"/>
    </font>
    <font>
      <b/>
      <sz val="18"/>
      <name val="Calibri"/>
      <family val="2"/>
      <scheme val="minor"/>
    </font>
    <font>
      <sz val="10"/>
      <name val="Arial"/>
      <family val="2"/>
    </font>
    <font>
      <b/>
      <sz val="14"/>
      <name val="Arial Narrow"/>
      <family val="2"/>
    </font>
    <font>
      <b/>
      <u/>
      <sz val="11"/>
      <name val="Arial Narrow"/>
      <family val="2"/>
    </font>
    <font>
      <b/>
      <sz val="10"/>
      <name val="Arial Narrow"/>
      <family val="2"/>
    </font>
    <font>
      <sz val="12"/>
      <name val="Times New Roman"/>
      <family val="1"/>
    </font>
    <font>
      <b/>
      <sz val="9"/>
      <name val="Arial Narrow"/>
      <family val="2"/>
    </font>
    <font>
      <sz val="9"/>
      <name val="Arial Narrow"/>
      <family val="2"/>
    </font>
    <font>
      <sz val="11"/>
      <name val="Arial Narrow"/>
      <family val="2"/>
    </font>
    <font>
      <b/>
      <sz val="10"/>
      <color theme="1"/>
      <name val="Arial Narrow"/>
      <family val="2"/>
    </font>
    <font>
      <sz val="15"/>
      <name val="Arial Narrow"/>
      <family val="2"/>
    </font>
    <font>
      <sz val="15"/>
      <color theme="1"/>
      <name val="Arial Narrow"/>
      <family val="2"/>
    </font>
    <font>
      <sz val="8"/>
      <name val="Calibri"/>
      <family val="2"/>
      <scheme val="minor"/>
    </font>
    <font>
      <b/>
      <sz val="18"/>
      <color theme="1"/>
      <name val="Calibri"/>
      <family val="2"/>
      <scheme val="minor"/>
    </font>
    <font>
      <b/>
      <sz val="20"/>
      <name val="Arial"/>
      <family val="2"/>
    </font>
    <font>
      <sz val="18"/>
      <name val="Arial Narrow"/>
      <family val="2"/>
    </font>
    <font>
      <sz val="12"/>
      <color theme="0"/>
      <name val="Arial Narrow"/>
      <family val="2"/>
    </font>
    <font>
      <b/>
      <sz val="14"/>
      <color theme="0"/>
      <name val="Arial Narrow"/>
      <family val="2"/>
    </font>
    <font>
      <sz val="12"/>
      <name val="Arial Narrow"/>
      <family val="2"/>
    </font>
    <font>
      <sz val="12"/>
      <color theme="1"/>
      <name val="Arial Narrow"/>
      <family val="2"/>
    </font>
    <font>
      <sz val="14"/>
      <color theme="1"/>
      <name val="Calibri"/>
      <family val="2"/>
      <scheme val="minor"/>
    </font>
    <font>
      <b/>
      <sz val="14"/>
      <name val="Arial"/>
      <family val="2"/>
    </font>
    <font>
      <sz val="18"/>
      <color theme="1"/>
      <name val="Arial"/>
      <family val="2"/>
    </font>
    <font>
      <b/>
      <sz val="24"/>
      <color theme="0"/>
      <name val="Arial Narrow"/>
      <family val="2"/>
    </font>
    <font>
      <b/>
      <sz val="20"/>
      <color theme="0"/>
      <name val="Arial"/>
      <family val="2"/>
    </font>
    <font>
      <sz val="20"/>
      <color theme="1"/>
      <name val="Calibri"/>
      <family val="2"/>
      <scheme val="minor"/>
    </font>
    <font>
      <b/>
      <u/>
      <sz val="20"/>
      <color theme="0"/>
      <name val="Arial"/>
      <family val="2"/>
    </font>
    <font>
      <sz val="25"/>
      <color theme="1"/>
      <name val="Calibri"/>
      <family val="2"/>
      <scheme val="minor"/>
    </font>
    <font>
      <sz val="25"/>
      <color theme="1"/>
      <name val="Arial Narrow"/>
      <family val="2"/>
    </font>
    <font>
      <sz val="12"/>
      <name val="Arial"/>
      <family val="2"/>
    </font>
    <font>
      <sz val="15"/>
      <color theme="1"/>
      <name val="Calibri"/>
      <family val="2"/>
      <scheme val="minor"/>
    </font>
  </fonts>
  <fills count="17">
    <fill>
      <patternFill patternType="none"/>
    </fill>
    <fill>
      <patternFill patternType="gray125"/>
    </fill>
    <fill>
      <patternFill patternType="solid">
        <fgColor theme="3" tint="0.39997558519241921"/>
        <bgColor indexed="64"/>
      </patternFill>
    </fill>
    <fill>
      <patternFill patternType="solid">
        <fgColor theme="3" tint="0.59999389629810485"/>
        <bgColor indexed="64"/>
      </patternFill>
    </fill>
    <fill>
      <patternFill patternType="solid">
        <fgColor theme="0"/>
        <bgColor indexed="64"/>
      </patternFill>
    </fill>
    <fill>
      <patternFill patternType="solid">
        <fgColor theme="4"/>
        <bgColor indexed="64"/>
      </patternFill>
    </fill>
    <fill>
      <patternFill patternType="solid">
        <fgColor rgb="FFFFC000"/>
        <bgColor indexed="64"/>
      </patternFill>
    </fill>
    <fill>
      <patternFill patternType="solid">
        <fgColor rgb="FFFFFF00"/>
        <bgColor indexed="64"/>
      </patternFill>
    </fill>
    <fill>
      <patternFill patternType="solid">
        <fgColor rgb="FFFF0000"/>
        <bgColor indexed="64"/>
      </patternFill>
    </fill>
    <fill>
      <patternFill patternType="solid">
        <fgColor theme="5" tint="-0.249977111117893"/>
        <bgColor indexed="64"/>
      </patternFill>
    </fill>
    <fill>
      <patternFill patternType="solid">
        <fgColor theme="6" tint="-0.249977111117893"/>
        <bgColor indexed="64"/>
      </patternFill>
    </fill>
    <fill>
      <patternFill patternType="solid">
        <fgColor theme="7" tint="-0.249977111117893"/>
        <bgColor indexed="64"/>
      </patternFill>
    </fill>
    <fill>
      <patternFill patternType="solid">
        <fgColor theme="4" tint="-0.249977111117893"/>
        <bgColor indexed="64"/>
      </patternFill>
    </fill>
    <fill>
      <patternFill patternType="solid">
        <fgColor rgb="FFFFCC00"/>
        <bgColor indexed="64"/>
      </patternFill>
    </fill>
    <fill>
      <patternFill patternType="solid">
        <fgColor rgb="FF00B050"/>
        <bgColor indexed="64"/>
      </patternFill>
    </fill>
    <fill>
      <patternFill patternType="solid">
        <fgColor rgb="FF83A343"/>
        <bgColor indexed="64"/>
      </patternFill>
    </fill>
    <fill>
      <patternFill patternType="solid">
        <fgColor theme="9" tint="0.39997558519241921"/>
        <bgColor indexed="64"/>
      </patternFill>
    </fill>
  </fills>
  <borders count="94">
    <border>
      <left/>
      <right/>
      <top/>
      <bottom/>
      <diagonal/>
    </border>
    <border>
      <left/>
      <right/>
      <top style="medium">
        <color auto="1"/>
      </top>
      <bottom style="medium">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auto="1"/>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medium">
        <color auto="1"/>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rgb="FF81829A"/>
      </left>
      <right/>
      <top style="thin">
        <color rgb="FF81829A"/>
      </top>
      <bottom style="thin">
        <color indexed="64"/>
      </bottom>
      <diagonal/>
    </border>
    <border>
      <left/>
      <right/>
      <top style="thin">
        <color rgb="FF81829A"/>
      </top>
      <bottom style="thin">
        <color indexed="64"/>
      </bottom>
      <diagonal/>
    </border>
    <border>
      <left/>
      <right style="thin">
        <color rgb="FF81829A"/>
      </right>
      <top style="thin">
        <color rgb="FF81829A"/>
      </top>
      <bottom style="thin">
        <color indexed="64"/>
      </bottom>
      <diagonal/>
    </border>
    <border>
      <left/>
      <right/>
      <top style="thin">
        <color auto="1"/>
      </top>
      <bottom/>
      <diagonal/>
    </border>
    <border>
      <left style="thin">
        <color rgb="FF81829A"/>
      </left>
      <right style="thin">
        <color rgb="FF81829A"/>
      </right>
      <top style="thin">
        <color rgb="FF81829A"/>
      </top>
      <bottom style="thin">
        <color rgb="FF81829A"/>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medium">
        <color indexed="64"/>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right/>
      <top style="medium">
        <color indexed="64"/>
      </top>
      <bottom style="hair">
        <color indexed="64"/>
      </bottom>
      <diagonal/>
    </border>
    <border>
      <left style="hair">
        <color indexed="64"/>
      </left>
      <right style="hair">
        <color indexed="64"/>
      </right>
      <top style="medium">
        <color indexed="64"/>
      </top>
      <bottom/>
      <diagonal/>
    </border>
    <border>
      <left style="hair">
        <color indexed="64"/>
      </left>
      <right style="medium">
        <color indexed="64"/>
      </right>
      <top style="medium">
        <color indexed="64"/>
      </top>
      <bottom style="hair">
        <color indexed="64"/>
      </bottom>
      <diagonal/>
    </border>
    <border>
      <left style="hair">
        <color indexed="64"/>
      </left>
      <right style="hair">
        <color indexed="64"/>
      </right>
      <top/>
      <bottom/>
      <diagonal/>
    </border>
    <border>
      <left style="hair">
        <color indexed="64"/>
      </left>
      <right style="medium">
        <color indexed="64"/>
      </right>
      <top style="hair">
        <color indexed="64"/>
      </top>
      <bottom/>
      <diagonal/>
    </border>
    <border>
      <left style="medium">
        <color indexed="64"/>
      </left>
      <right style="dashed">
        <color indexed="64"/>
      </right>
      <top style="medium">
        <color indexed="64"/>
      </top>
      <bottom style="medium">
        <color indexed="64"/>
      </bottom>
      <diagonal/>
    </border>
    <border>
      <left style="dashed">
        <color indexed="64"/>
      </left>
      <right style="dashed">
        <color indexed="64"/>
      </right>
      <top style="medium">
        <color indexed="64"/>
      </top>
      <bottom style="medium">
        <color indexed="64"/>
      </bottom>
      <diagonal/>
    </border>
    <border>
      <left style="dashed">
        <color indexed="64"/>
      </left>
      <right style="medium">
        <color indexed="64"/>
      </right>
      <top style="medium">
        <color indexed="64"/>
      </top>
      <bottom style="medium">
        <color indexed="64"/>
      </bottom>
      <diagonal/>
    </border>
    <border>
      <left style="medium">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medium">
        <color indexed="64"/>
      </right>
      <top/>
      <bottom style="dashed">
        <color indexed="64"/>
      </bottom>
      <diagonal/>
    </border>
    <border>
      <left style="medium">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medium">
        <color indexed="64"/>
      </left>
      <right style="dashed">
        <color indexed="64"/>
      </right>
      <top style="dashed">
        <color indexed="64"/>
      </top>
      <bottom style="medium">
        <color indexed="64"/>
      </bottom>
      <diagonal/>
    </border>
    <border>
      <left style="dashed">
        <color indexed="64"/>
      </left>
      <right style="dashed">
        <color indexed="64"/>
      </right>
      <top style="dashed">
        <color indexed="64"/>
      </top>
      <bottom style="medium">
        <color indexed="64"/>
      </bottom>
      <diagonal/>
    </border>
    <border>
      <left style="dashed">
        <color indexed="64"/>
      </left>
      <right style="medium">
        <color indexed="64"/>
      </right>
      <top style="dashed">
        <color indexed="64"/>
      </top>
      <bottom style="medium">
        <color indexed="64"/>
      </bottom>
      <diagonal/>
    </border>
    <border>
      <left/>
      <right/>
      <top style="medium">
        <color indexed="64"/>
      </top>
      <bottom style="thin">
        <color indexed="64"/>
      </bottom>
      <diagonal/>
    </border>
    <border>
      <left style="dashed">
        <color indexed="64"/>
      </left>
      <right/>
      <top style="dashed">
        <color indexed="64"/>
      </top>
      <bottom style="dashed">
        <color indexed="64"/>
      </bottom>
      <diagonal/>
    </border>
    <border>
      <left/>
      <right style="medium">
        <color indexed="64"/>
      </right>
      <top style="dashed">
        <color indexed="64"/>
      </top>
      <bottom style="dashed">
        <color indexed="64"/>
      </bottom>
      <diagonal/>
    </border>
    <border>
      <left style="medium">
        <color indexed="64"/>
      </left>
      <right/>
      <top style="medium">
        <color indexed="64"/>
      </top>
      <bottom style="thin">
        <color indexed="64"/>
      </bottom>
      <diagonal/>
    </border>
    <border>
      <left style="medium">
        <color indexed="64"/>
      </left>
      <right/>
      <top/>
      <bottom/>
      <diagonal/>
    </border>
    <border>
      <left/>
      <right style="medium">
        <color indexed="64"/>
      </right>
      <top/>
      <bottom/>
      <diagonal/>
    </border>
    <border>
      <left style="double">
        <color indexed="64"/>
      </left>
      <right/>
      <top style="double">
        <color indexed="64"/>
      </top>
      <bottom/>
      <diagonal/>
    </border>
    <border>
      <left/>
      <right style="thin">
        <color theme="0"/>
      </right>
      <top style="double">
        <color indexed="64"/>
      </top>
      <bottom/>
      <diagonal/>
    </border>
    <border>
      <left style="thin">
        <color theme="0"/>
      </left>
      <right/>
      <top style="double">
        <color indexed="64"/>
      </top>
      <bottom style="thin">
        <color indexed="64"/>
      </bottom>
      <diagonal/>
    </border>
    <border>
      <left/>
      <right style="double">
        <color indexed="64"/>
      </right>
      <top style="double">
        <color indexed="64"/>
      </top>
      <bottom style="thin">
        <color indexed="64"/>
      </bottom>
      <diagonal/>
    </border>
    <border>
      <left style="hair">
        <color indexed="64"/>
      </left>
      <right/>
      <top style="thin">
        <color indexed="64"/>
      </top>
      <bottom style="hair">
        <color indexed="64"/>
      </bottom>
      <diagonal/>
    </border>
    <border>
      <left/>
      <right style="double">
        <color indexed="64"/>
      </right>
      <top style="thin">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auto="1"/>
      </left>
      <right/>
      <top style="hair">
        <color auto="1"/>
      </top>
      <bottom style="hair">
        <color auto="1"/>
      </bottom>
      <diagonal/>
    </border>
    <border>
      <left/>
      <right style="double">
        <color indexed="64"/>
      </right>
      <top style="hair">
        <color indexed="64"/>
      </top>
      <bottom style="hair">
        <color indexed="64"/>
      </bottom>
      <diagonal/>
    </border>
    <border>
      <left/>
      <right/>
      <top style="dashed">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double">
        <color indexed="64"/>
      </left>
      <right/>
      <top style="thin">
        <color indexed="64"/>
      </top>
      <bottom style="hair">
        <color indexed="64"/>
      </bottom>
      <diagonal/>
    </border>
    <border>
      <left/>
      <right style="hair">
        <color indexed="64"/>
      </right>
      <top style="thin">
        <color indexed="64"/>
      </top>
      <bottom style="hair">
        <color indexed="64"/>
      </bottom>
      <diagonal/>
    </border>
    <border>
      <left style="double">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bottom/>
      <diagonal/>
    </border>
    <border>
      <left style="hair">
        <color indexed="64"/>
      </left>
      <right style="hair">
        <color indexed="64"/>
      </right>
      <top style="hair">
        <color indexed="64"/>
      </top>
      <bottom/>
      <diagonal/>
    </border>
    <border>
      <left style="medium">
        <color indexed="64"/>
      </left>
      <right style="hair">
        <color indexed="64"/>
      </right>
      <top style="hair">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s>
  <cellStyleXfs count="5">
    <xf numFmtId="0" fontId="0" fillId="0" borderId="0"/>
    <xf numFmtId="9" fontId="3" fillId="0" borderId="0" applyFont="0" applyFill="0" applyBorder="0" applyAlignment="0" applyProtection="0"/>
    <xf numFmtId="0" fontId="21" fillId="0" borderId="0"/>
    <xf numFmtId="0" fontId="29" fillId="0" borderId="0"/>
    <xf numFmtId="0" fontId="33" fillId="0" borderId="0"/>
  </cellStyleXfs>
  <cellXfs count="330">
    <xf numFmtId="0" fontId="0" fillId="0" borderId="0" xfId="0"/>
    <xf numFmtId="0" fontId="0" fillId="4" borderId="0" xfId="0" applyFill="1"/>
    <xf numFmtId="0" fontId="0" fillId="4" borderId="17" xfId="0" applyFill="1" applyBorder="1"/>
    <xf numFmtId="0" fontId="0" fillId="4" borderId="18" xfId="0" applyFill="1" applyBorder="1"/>
    <xf numFmtId="0" fontId="0" fillId="4" borderId="19" xfId="0" applyFill="1" applyBorder="1"/>
    <xf numFmtId="0" fontId="0" fillId="4" borderId="20" xfId="0" applyFill="1" applyBorder="1"/>
    <xf numFmtId="0" fontId="0" fillId="4" borderId="0" xfId="0" applyFill="1" applyBorder="1"/>
    <xf numFmtId="0" fontId="7" fillId="4" borderId="0" xfId="0" applyFont="1" applyFill="1" applyBorder="1" applyAlignment="1">
      <alignment horizontal="center"/>
    </xf>
    <xf numFmtId="0" fontId="0" fillId="4" borderId="21" xfId="0" applyFill="1" applyBorder="1"/>
    <xf numFmtId="164" fontId="7" fillId="4" borderId="0" xfId="0" applyNumberFormat="1" applyFont="1" applyFill="1" applyBorder="1" applyAlignment="1">
      <alignment horizontal="center"/>
    </xf>
    <xf numFmtId="0" fontId="8" fillId="4" borderId="0" xfId="0" applyFont="1" applyFill="1" applyBorder="1" applyAlignment="1">
      <alignment vertical="center"/>
    </xf>
    <xf numFmtId="0" fontId="10" fillId="4" borderId="0" xfId="0" applyFont="1" applyFill="1" applyBorder="1" applyAlignment="1">
      <alignment horizontal="center" vertical="center"/>
    </xf>
    <xf numFmtId="0" fontId="11" fillId="4" borderId="0" xfId="0" applyFont="1" applyFill="1" applyBorder="1"/>
    <xf numFmtId="0" fontId="9" fillId="4" borderId="0" xfId="0" applyFont="1" applyFill="1" applyBorder="1" applyAlignment="1">
      <alignment horizontal="center" vertical="center"/>
    </xf>
    <xf numFmtId="0" fontId="2" fillId="4" borderId="30" xfId="0" applyFont="1" applyFill="1" applyBorder="1" applyAlignment="1">
      <alignment horizontal="center" vertical="center"/>
    </xf>
    <xf numFmtId="0" fontId="2" fillId="4" borderId="0" xfId="0" applyFont="1" applyFill="1" applyBorder="1" applyAlignment="1">
      <alignment horizontal="center" vertical="center"/>
    </xf>
    <xf numFmtId="0" fontId="12" fillId="4" borderId="0" xfId="0" applyFont="1" applyFill="1" applyBorder="1" applyAlignment="1">
      <alignment wrapText="1"/>
    </xf>
    <xf numFmtId="0" fontId="13" fillId="4" borderId="0" xfId="0" applyFont="1" applyFill="1" applyAlignment="1">
      <alignment wrapText="1"/>
    </xf>
    <xf numFmtId="0" fontId="0" fillId="0" borderId="0" xfId="0" applyBorder="1"/>
    <xf numFmtId="0" fontId="5" fillId="0" borderId="0" xfId="0" applyFont="1" applyFill="1" applyBorder="1" applyAlignment="1">
      <alignment vertical="center"/>
    </xf>
    <xf numFmtId="9" fontId="2" fillId="0" borderId="0" xfId="0" applyNumberFormat="1" applyFont="1" applyFill="1" applyBorder="1" applyAlignment="1">
      <alignment vertical="center"/>
    </xf>
    <xf numFmtId="0" fontId="2" fillId="4" borderId="21" xfId="0" applyFont="1" applyFill="1" applyBorder="1" applyAlignment="1">
      <alignment vertical="center"/>
    </xf>
    <xf numFmtId="0" fontId="2" fillId="4" borderId="0" xfId="0" applyFont="1" applyFill="1" applyBorder="1" applyAlignment="1">
      <alignment vertical="center"/>
    </xf>
    <xf numFmtId="0" fontId="0" fillId="0" borderId="0" xfId="0" applyFill="1" applyBorder="1"/>
    <xf numFmtId="0" fontId="0" fillId="0" borderId="3" xfId="0" applyBorder="1"/>
    <xf numFmtId="0" fontId="5" fillId="4" borderId="0" xfId="0" applyFont="1" applyFill="1" applyBorder="1" applyAlignment="1">
      <alignment vertical="center"/>
    </xf>
    <xf numFmtId="0" fontId="2" fillId="4" borderId="0" xfId="0" applyFont="1" applyFill="1" applyBorder="1" applyAlignment="1">
      <alignment horizontal="left" vertical="center"/>
    </xf>
    <xf numFmtId="0" fontId="15" fillId="4" borderId="0" xfId="0" applyFont="1" applyFill="1" applyBorder="1" applyAlignment="1">
      <alignment vertical="center"/>
    </xf>
    <xf numFmtId="0" fontId="16" fillId="4" borderId="0" xfId="0" applyFont="1" applyFill="1" applyBorder="1"/>
    <xf numFmtId="0" fontId="0" fillId="4" borderId="34" xfId="0" applyFill="1" applyBorder="1"/>
    <xf numFmtId="0" fontId="0" fillId="4" borderId="35" xfId="0" applyFill="1" applyBorder="1"/>
    <xf numFmtId="0" fontId="0" fillId="4" borderId="36" xfId="0" applyFill="1" applyBorder="1"/>
    <xf numFmtId="0" fontId="20" fillId="0" borderId="0" xfId="0" applyFont="1" applyBorder="1" applyAlignment="1">
      <alignment horizontal="center" wrapText="1"/>
    </xf>
    <xf numFmtId="0" fontId="5" fillId="4" borderId="0" xfId="0" applyFont="1" applyFill="1" applyBorder="1" applyAlignment="1">
      <alignment horizontal="center" vertical="center" wrapText="1"/>
    </xf>
    <xf numFmtId="0" fontId="4" fillId="4" borderId="0" xfId="0" applyFont="1" applyFill="1" applyBorder="1"/>
    <xf numFmtId="0" fontId="5" fillId="4" borderId="0" xfId="0" applyFont="1" applyFill="1" applyBorder="1" applyAlignment="1">
      <alignment horizontal="left" vertical="center"/>
    </xf>
    <xf numFmtId="9" fontId="5" fillId="4" borderId="0" xfId="0" applyNumberFormat="1" applyFont="1" applyFill="1" applyBorder="1" applyAlignment="1">
      <alignment horizontal="center" vertical="center"/>
    </xf>
    <xf numFmtId="0" fontId="4" fillId="4" borderId="0" xfId="0" applyFont="1" applyFill="1" applyBorder="1" applyAlignment="1">
      <alignment horizontal="left"/>
    </xf>
    <xf numFmtId="0" fontId="22" fillId="0" borderId="0" xfId="2" applyFont="1" applyFill="1" applyAlignment="1" applyProtection="1">
      <alignment vertical="center"/>
      <protection locked="0"/>
    </xf>
    <xf numFmtId="49" fontId="24" fillId="4" borderId="0" xfId="2" applyNumberFormat="1" applyFont="1" applyFill="1" applyAlignment="1" applyProtection="1">
      <alignment vertical="center"/>
      <protection locked="0"/>
    </xf>
    <xf numFmtId="0" fontId="24" fillId="4" borderId="0" xfId="2" applyFont="1" applyFill="1" applyAlignment="1" applyProtection="1">
      <alignment vertical="center"/>
      <protection locked="0"/>
    </xf>
    <xf numFmtId="9" fontId="26" fillId="4" borderId="0" xfId="2" applyNumberFormat="1" applyFont="1" applyFill="1" applyAlignment="1" applyProtection="1">
      <alignment vertical="center"/>
      <protection locked="0"/>
    </xf>
    <xf numFmtId="9" fontId="22" fillId="4" borderId="0" xfId="1" applyFont="1" applyFill="1" applyAlignment="1" applyProtection="1">
      <alignment vertical="center"/>
      <protection locked="0"/>
    </xf>
    <xf numFmtId="9" fontId="22" fillId="4" borderId="0" xfId="2" applyNumberFormat="1" applyFont="1" applyFill="1" applyAlignment="1" applyProtection="1">
      <alignment vertical="center"/>
      <protection locked="0"/>
    </xf>
    <xf numFmtId="0" fontId="26" fillId="4" borderId="0" xfId="2" applyFont="1" applyFill="1" applyAlignment="1" applyProtection="1">
      <alignment vertical="center"/>
      <protection locked="0"/>
    </xf>
    <xf numFmtId="0" fontId="26" fillId="0" borderId="0" xfId="3" applyFont="1" applyProtection="1"/>
    <xf numFmtId="0" fontId="7" fillId="4" borderId="0" xfId="0" applyFont="1" applyFill="1"/>
    <xf numFmtId="0" fontId="7" fillId="0" borderId="0" xfId="0" applyFont="1"/>
    <xf numFmtId="0" fontId="36" fillId="0" borderId="0" xfId="0" applyFont="1" applyAlignment="1">
      <alignment vertical="top"/>
    </xf>
    <xf numFmtId="49" fontId="36" fillId="0" borderId="0" xfId="0" applyNumberFormat="1" applyFont="1" applyAlignment="1">
      <alignment horizontal="center" vertical="top"/>
    </xf>
    <xf numFmtId="0" fontId="22" fillId="4" borderId="0" xfId="2" applyFont="1" applyFill="1" applyAlignment="1" applyProtection="1">
      <alignment vertical="center"/>
      <protection locked="0"/>
    </xf>
    <xf numFmtId="0" fontId="26" fillId="4" borderId="0" xfId="3" applyFont="1" applyFill="1" applyBorder="1" applyProtection="1"/>
    <xf numFmtId="0" fontId="26" fillId="4" borderId="59" xfId="3" applyFont="1" applyFill="1" applyBorder="1" applyAlignment="1" applyProtection="1">
      <alignment vertical="top" wrapText="1"/>
    </xf>
    <xf numFmtId="0" fontId="26" fillId="4" borderId="0" xfId="3" applyFont="1" applyFill="1" applyBorder="1" applyAlignment="1" applyProtection="1">
      <alignment vertical="top" wrapText="1"/>
    </xf>
    <xf numFmtId="0" fontId="26" fillId="4" borderId="60" xfId="3" applyFont="1" applyFill="1" applyBorder="1" applyAlignment="1" applyProtection="1">
      <alignment vertical="top" wrapText="1"/>
    </xf>
    <xf numFmtId="0" fontId="26" fillId="4" borderId="59" xfId="3" applyFont="1" applyFill="1" applyBorder="1" applyAlignment="1" applyProtection="1">
      <alignment horizontal="left" vertical="top"/>
    </xf>
    <xf numFmtId="0" fontId="26" fillId="4" borderId="60" xfId="3" applyFont="1" applyFill="1" applyBorder="1" applyAlignment="1" applyProtection="1">
      <alignment horizontal="left" vertical="top"/>
    </xf>
    <xf numFmtId="0" fontId="26" fillId="4" borderId="59" xfId="3" applyFont="1" applyFill="1" applyBorder="1" applyProtection="1"/>
    <xf numFmtId="0" fontId="34" fillId="4" borderId="0" xfId="4" applyFont="1" applyFill="1" applyBorder="1" applyAlignment="1" applyProtection="1">
      <alignment horizontal="left" vertical="top" wrapText="1" readingOrder="1"/>
    </xf>
    <xf numFmtId="0" fontId="26" fillId="4" borderId="60" xfId="3" applyFont="1" applyFill="1" applyBorder="1" applyProtection="1"/>
    <xf numFmtId="0" fontId="26" fillId="4" borderId="72" xfId="3" applyFont="1" applyFill="1" applyBorder="1" applyProtection="1"/>
    <xf numFmtId="0" fontId="26" fillId="4" borderId="73" xfId="3" applyFont="1" applyFill="1" applyBorder="1" applyProtection="1"/>
    <xf numFmtId="0" fontId="26" fillId="4" borderId="74" xfId="3" applyFont="1" applyFill="1" applyBorder="1" applyProtection="1"/>
    <xf numFmtId="0" fontId="34" fillId="4" borderId="0" xfId="0" applyFont="1" applyFill="1" applyBorder="1" applyAlignment="1" applyProtection="1">
      <alignment horizontal="left" vertical="center" wrapText="1"/>
    </xf>
    <xf numFmtId="0" fontId="35" fillId="4" borderId="0" xfId="0" applyFont="1" applyFill="1" applyBorder="1" applyAlignment="1" applyProtection="1">
      <alignment horizontal="left" vertical="top" wrapText="1"/>
    </xf>
    <xf numFmtId="0" fontId="26" fillId="4" borderId="0" xfId="3" quotePrefix="1" applyFont="1" applyFill="1" applyBorder="1" applyAlignment="1" applyProtection="1">
      <alignment horizontal="left" vertical="center" wrapText="1"/>
    </xf>
    <xf numFmtId="0" fontId="26" fillId="4" borderId="60" xfId="3" applyFont="1" applyFill="1" applyBorder="1" applyAlignment="1" applyProtection="1"/>
    <xf numFmtId="0" fontId="32" fillId="4" borderId="0" xfId="3" applyFont="1" applyFill="1" applyBorder="1" applyAlignment="1" applyProtection="1">
      <alignment horizontal="left" vertical="center" wrapText="1"/>
    </xf>
    <xf numFmtId="0" fontId="26" fillId="4" borderId="0" xfId="3" applyFont="1" applyFill="1" applyBorder="1" applyAlignment="1" applyProtection="1">
      <alignment horizontal="left" vertical="center" wrapText="1"/>
    </xf>
    <xf numFmtId="0" fontId="7" fillId="4" borderId="0" xfId="0" applyFont="1" applyFill="1" applyAlignment="1">
      <alignment vertical="center"/>
    </xf>
    <xf numFmtId="0" fontId="7" fillId="0" borderId="0" xfId="0" applyFont="1" applyAlignment="1">
      <alignment vertical="center"/>
    </xf>
    <xf numFmtId="0" fontId="8" fillId="4" borderId="0" xfId="0" applyFont="1" applyFill="1"/>
    <xf numFmtId="0" fontId="8" fillId="4" borderId="0" xfId="0" applyNumberFormat="1" applyFont="1" applyFill="1"/>
    <xf numFmtId="0" fontId="8" fillId="0" borderId="0" xfId="0" applyFont="1" applyAlignment="1">
      <alignment vertical="top"/>
    </xf>
    <xf numFmtId="0" fontId="8" fillId="0" borderId="0" xfId="0" applyNumberFormat="1" applyFont="1" applyAlignment="1">
      <alignment vertical="top"/>
    </xf>
    <xf numFmtId="0" fontId="8" fillId="0" borderId="0" xfId="0" applyNumberFormat="1" applyFont="1"/>
    <xf numFmtId="0" fontId="44" fillId="9" borderId="11" xfId="0" applyFont="1" applyFill="1" applyBorder="1" applyAlignment="1">
      <alignment horizontal="center" vertical="top" wrapText="1"/>
    </xf>
    <xf numFmtId="49" fontId="45" fillId="5" borderId="7" xfId="0" applyNumberFormat="1" applyFont="1" applyFill="1" applyBorder="1" applyAlignment="1">
      <alignment horizontal="center" vertical="center" wrapText="1"/>
    </xf>
    <xf numFmtId="0" fontId="45" fillId="5" borderId="7" xfId="0" applyFont="1" applyFill="1" applyBorder="1" applyAlignment="1">
      <alignment horizontal="center" vertical="center" wrapText="1"/>
    </xf>
    <xf numFmtId="0" fontId="45" fillId="5" borderId="10" xfId="0" applyFont="1" applyFill="1" applyBorder="1" applyAlignment="1">
      <alignment horizontal="center" vertical="center" wrapText="1"/>
    </xf>
    <xf numFmtId="0" fontId="45" fillId="5" borderId="5" xfId="0" applyFont="1" applyFill="1" applyBorder="1" applyAlignment="1">
      <alignment horizontal="center" vertical="center" wrapText="1"/>
    </xf>
    <xf numFmtId="0" fontId="46" fillId="0" borderId="2" xfId="0" applyFont="1" applyBorder="1" applyAlignment="1">
      <alignment horizontal="center" vertical="center" wrapText="1"/>
    </xf>
    <xf numFmtId="0" fontId="46" fillId="0" borderId="2" xfId="0" applyFont="1" applyBorder="1" applyAlignment="1">
      <alignment horizontal="left" vertical="center" wrapText="1"/>
    </xf>
    <xf numFmtId="0" fontId="46" fillId="0" borderId="3" xfId="0" applyFont="1" applyBorder="1" applyAlignment="1">
      <alignment horizontal="center" vertical="center" wrapText="1"/>
    </xf>
    <xf numFmtId="0" fontId="47" fillId="0" borderId="3" xfId="0" applyFont="1" applyFill="1" applyBorder="1" applyAlignment="1">
      <alignment horizontal="left" vertical="center" wrapText="1"/>
    </xf>
    <xf numFmtId="0" fontId="46" fillId="0" borderId="3" xfId="0" applyFont="1" applyBorder="1" applyAlignment="1">
      <alignment horizontal="left" vertical="center" wrapText="1"/>
    </xf>
    <xf numFmtId="0" fontId="46" fillId="0" borderId="4" xfId="0" applyFont="1" applyBorder="1" applyAlignment="1">
      <alignment horizontal="center" vertical="center" wrapText="1"/>
    </xf>
    <xf numFmtId="0" fontId="46" fillId="0" borderId="4" xfId="0" applyFont="1" applyBorder="1" applyAlignment="1">
      <alignment horizontal="left" vertical="center" wrapText="1"/>
    </xf>
    <xf numFmtId="0" fontId="46" fillId="0" borderId="3" xfId="0" applyFont="1" applyFill="1" applyBorder="1" applyAlignment="1">
      <alignment horizontal="center" vertical="center" wrapText="1"/>
    </xf>
    <xf numFmtId="0" fontId="46" fillId="0" borderId="2" xfId="0" applyFont="1" applyFill="1" applyBorder="1" applyAlignment="1">
      <alignment horizontal="left" vertical="center" wrapText="1"/>
    </xf>
    <xf numFmtId="0" fontId="9" fillId="13" borderId="3" xfId="0" applyFont="1" applyFill="1" applyBorder="1" applyAlignment="1">
      <alignment horizontal="center" vertical="center" wrapText="1"/>
    </xf>
    <xf numFmtId="0" fontId="50" fillId="0" borderId="0" xfId="0" applyFont="1" applyBorder="1" applyAlignment="1">
      <alignment horizontal="center" wrapText="1"/>
    </xf>
    <xf numFmtId="0" fontId="9" fillId="15" borderId="3"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9" fillId="11" borderId="3" xfId="0" applyFont="1" applyFill="1" applyBorder="1" applyAlignment="1">
      <alignment horizontal="center" vertical="center" wrapText="1"/>
    </xf>
    <xf numFmtId="0" fontId="9" fillId="9" borderId="3" xfId="0" applyFont="1" applyFill="1" applyBorder="1" applyAlignment="1">
      <alignment horizontal="center" vertical="center" wrapText="1"/>
    </xf>
    <xf numFmtId="0" fontId="51" fillId="2" borderId="3" xfId="0" applyFont="1" applyFill="1" applyBorder="1" applyAlignment="1">
      <alignment horizontal="center" vertical="center"/>
    </xf>
    <xf numFmtId="0" fontId="42" fillId="0" borderId="3" xfId="0" applyFont="1" applyFill="1" applyBorder="1" applyAlignment="1">
      <alignment horizontal="center" vertical="center"/>
    </xf>
    <xf numFmtId="0" fontId="53" fillId="0" borderId="0" xfId="0" applyFont="1" applyBorder="1" applyAlignment="1">
      <alignment horizontal="center"/>
    </xf>
    <xf numFmtId="0" fontId="52" fillId="12" borderId="31" xfId="0" applyFont="1" applyFill="1" applyBorder="1" applyAlignment="1">
      <alignment horizontal="center" vertical="center" wrapText="1"/>
    </xf>
    <xf numFmtId="0" fontId="42" fillId="0" borderId="0" xfId="0" applyFont="1" applyFill="1" applyBorder="1" applyAlignment="1">
      <alignment horizontal="center" vertical="center" wrapText="1"/>
    </xf>
    <xf numFmtId="0" fontId="25" fillId="4" borderId="0" xfId="2" applyNumberFormat="1" applyFont="1" applyFill="1" applyBorder="1" applyAlignment="1" applyProtection="1">
      <alignment vertical="center" wrapText="1"/>
    </xf>
    <xf numFmtId="0" fontId="35" fillId="4" borderId="0" xfId="2" applyFont="1" applyFill="1" applyBorder="1" applyAlignment="1" applyProtection="1">
      <alignment vertical="center" wrapText="1"/>
    </xf>
    <xf numFmtId="0" fontId="36" fillId="0" borderId="0" xfId="0" applyNumberFormat="1" applyFont="1" applyAlignment="1" applyProtection="1">
      <alignment horizontal="center" vertical="top"/>
      <protection hidden="1"/>
    </xf>
    <xf numFmtId="0" fontId="38" fillId="0" borderId="79" xfId="0" applyFont="1" applyBorder="1" applyAlignment="1" applyProtection="1">
      <alignment horizontal="center" vertical="center" wrapText="1"/>
      <protection hidden="1"/>
    </xf>
    <xf numFmtId="0" fontId="8" fillId="0" borderId="0" xfId="0" applyNumberFormat="1" applyFont="1" applyAlignment="1" applyProtection="1">
      <alignment horizontal="center" vertical="top"/>
      <protection hidden="1"/>
    </xf>
    <xf numFmtId="0" fontId="39" fillId="0" borderId="9" xfId="0" applyFont="1" applyFill="1" applyBorder="1" applyAlignment="1" applyProtection="1">
      <alignment horizontal="center" vertical="center" wrapText="1"/>
      <protection hidden="1"/>
    </xf>
    <xf numFmtId="49" fontId="8" fillId="0" borderId="0" xfId="0" applyNumberFormat="1" applyFont="1" applyAlignment="1" applyProtection="1">
      <alignment horizontal="center" vertical="top"/>
      <protection hidden="1"/>
    </xf>
    <xf numFmtId="0" fontId="38" fillId="0" borderId="9" xfId="0" applyFont="1" applyBorder="1" applyAlignment="1" applyProtection="1">
      <alignment horizontal="center" vertical="center" wrapText="1"/>
      <protection hidden="1"/>
    </xf>
    <xf numFmtId="0" fontId="38" fillId="0" borderId="80" xfId="0" applyFont="1" applyBorder="1" applyAlignment="1" applyProtection="1">
      <alignment horizontal="center" vertical="center" wrapText="1"/>
      <protection hidden="1"/>
    </xf>
    <xf numFmtId="0" fontId="8" fillId="0" borderId="0" xfId="0" applyNumberFormat="1" applyFont="1" applyAlignment="1" applyProtection="1">
      <alignment vertical="top"/>
      <protection hidden="1"/>
    </xf>
    <xf numFmtId="0" fontId="38" fillId="0" borderId="79" xfId="0" applyFont="1" applyFill="1" applyBorder="1" applyAlignment="1" applyProtection="1">
      <alignment horizontal="center" vertical="center" wrapText="1"/>
      <protection hidden="1"/>
    </xf>
    <xf numFmtId="0" fontId="43" fillId="0" borderId="2" xfId="0" applyFont="1" applyBorder="1" applyAlignment="1" applyProtection="1">
      <alignment horizontal="center" vertical="center" wrapText="1"/>
      <protection locked="0"/>
    </xf>
    <xf numFmtId="0" fontId="36" fillId="0" borderId="79" xfId="0" applyFont="1" applyBorder="1" applyAlignment="1" applyProtection="1">
      <alignment horizontal="left" vertical="center" wrapText="1"/>
      <protection locked="0"/>
    </xf>
    <xf numFmtId="0" fontId="43" fillId="0" borderId="3" xfId="0" applyFont="1" applyFill="1" applyBorder="1" applyAlignment="1" applyProtection="1">
      <alignment horizontal="center" vertical="center" wrapText="1"/>
      <protection locked="0"/>
    </xf>
    <xf numFmtId="0" fontId="7" fillId="0" borderId="9" xfId="0" applyFont="1" applyFill="1" applyBorder="1" applyAlignment="1" applyProtection="1">
      <alignment horizontal="left" vertical="center" wrapText="1"/>
      <protection locked="0"/>
    </xf>
    <xf numFmtId="0" fontId="43" fillId="0" borderId="3" xfId="0" applyFont="1" applyBorder="1" applyAlignment="1" applyProtection="1">
      <alignment horizontal="center" vertical="center" wrapText="1"/>
      <protection locked="0"/>
    </xf>
    <xf numFmtId="0" fontId="36" fillId="0" borderId="9" xfId="0" applyFont="1" applyBorder="1" applyAlignment="1" applyProtection="1">
      <alignment horizontal="left" vertical="center" wrapText="1"/>
      <protection locked="0"/>
    </xf>
    <xf numFmtId="0" fontId="43" fillId="0" borderId="4" xfId="0" applyFont="1" applyBorder="1" applyAlignment="1" applyProtection="1">
      <alignment horizontal="center" vertical="center" wrapText="1"/>
      <protection locked="0"/>
    </xf>
    <xf numFmtId="0" fontId="36" fillId="0" borderId="80" xfId="0" applyFont="1" applyBorder="1" applyAlignment="1" applyProtection="1">
      <alignment horizontal="left" vertical="center" wrapText="1"/>
      <protection locked="0"/>
    </xf>
    <xf numFmtId="0" fontId="43" fillId="0" borderId="2" xfId="0" applyFont="1" applyFill="1" applyBorder="1" applyAlignment="1" applyProtection="1">
      <alignment horizontal="center" vertical="center" wrapText="1"/>
      <protection locked="0"/>
    </xf>
    <xf numFmtId="0" fontId="36" fillId="0" borderId="79" xfId="0" applyFont="1" applyFill="1" applyBorder="1" applyAlignment="1" applyProtection="1">
      <alignment horizontal="left" vertical="center" wrapText="1"/>
      <protection locked="0"/>
    </xf>
    <xf numFmtId="0" fontId="19" fillId="2" borderId="82" xfId="2" applyFont="1" applyFill="1" applyBorder="1" applyAlignment="1" applyProtection="1">
      <alignment horizontal="center" vertical="center"/>
    </xf>
    <xf numFmtId="0" fontId="19" fillId="2" borderId="82" xfId="2" applyFont="1" applyFill="1" applyBorder="1" applyAlignment="1" applyProtection="1">
      <alignment horizontal="center" vertical="center" wrapText="1"/>
    </xf>
    <xf numFmtId="0" fontId="1" fillId="0" borderId="2" xfId="0" applyFont="1" applyBorder="1" applyAlignment="1" applyProtection="1">
      <alignment horizontal="left" vertical="center" wrapText="1"/>
      <protection hidden="1"/>
    </xf>
    <xf numFmtId="0" fontId="0" fillId="0" borderId="2" xfId="0" applyBorder="1" applyAlignment="1" applyProtection="1">
      <alignment horizontal="center" vertical="center"/>
      <protection hidden="1"/>
    </xf>
    <xf numFmtId="0" fontId="40" fillId="0" borderId="84" xfId="0" applyFont="1" applyFill="1" applyBorder="1" applyAlignment="1" applyProtection="1">
      <alignment vertical="center" wrapText="1"/>
      <protection hidden="1"/>
    </xf>
    <xf numFmtId="0" fontId="1" fillId="0" borderId="3" xfId="0" applyFont="1" applyBorder="1" applyAlignment="1" applyProtection="1">
      <alignment horizontal="left" vertical="center" wrapText="1"/>
      <protection hidden="1"/>
    </xf>
    <xf numFmtId="0" fontId="0" fillId="0" borderId="3" xfId="0" applyBorder="1" applyAlignment="1" applyProtection="1">
      <alignment horizontal="center" vertical="center"/>
      <protection hidden="1"/>
    </xf>
    <xf numFmtId="0" fontId="40" fillId="0" borderId="85" xfId="0" applyFont="1" applyFill="1" applyBorder="1" applyAlignment="1" applyProtection="1">
      <alignment vertical="center" wrapText="1"/>
      <protection hidden="1"/>
    </xf>
    <xf numFmtId="0" fontId="1" fillId="0" borderId="4" xfId="0" applyFont="1" applyBorder="1" applyAlignment="1" applyProtection="1">
      <alignment horizontal="left" vertical="center" wrapText="1"/>
      <protection hidden="1"/>
    </xf>
    <xf numFmtId="0" fontId="0" fillId="0" borderId="4" xfId="0" applyBorder="1" applyAlignment="1" applyProtection="1">
      <alignment horizontal="center" vertical="center"/>
      <protection hidden="1"/>
    </xf>
    <xf numFmtId="0" fontId="40" fillId="0" borderId="86" xfId="0" applyFont="1" applyFill="1" applyBorder="1" applyAlignment="1" applyProtection="1">
      <alignment vertical="center" wrapText="1"/>
      <protection hidden="1"/>
    </xf>
    <xf numFmtId="0" fontId="1" fillId="0" borderId="7" xfId="0" applyFont="1" applyBorder="1" applyAlignment="1" applyProtection="1">
      <alignment horizontal="left" vertical="center" wrapText="1"/>
      <protection hidden="1"/>
    </xf>
    <xf numFmtId="0" fontId="0" fillId="0" borderId="7" xfId="0" applyBorder="1" applyAlignment="1" applyProtection="1">
      <alignment horizontal="center" vertical="center"/>
      <protection hidden="1"/>
    </xf>
    <xf numFmtId="0" fontId="40" fillId="0" borderId="5" xfId="0" applyFont="1" applyFill="1" applyBorder="1" applyAlignment="1" applyProtection="1">
      <alignment vertical="center" wrapText="1"/>
      <protection hidden="1"/>
    </xf>
    <xf numFmtId="0" fontId="1" fillId="0" borderId="6" xfId="0" applyFont="1" applyBorder="1" applyAlignment="1" applyProtection="1">
      <alignment horizontal="left" vertical="center" wrapText="1"/>
      <protection hidden="1"/>
    </xf>
    <xf numFmtId="0" fontId="0" fillId="0" borderId="6" xfId="0" applyBorder="1" applyAlignment="1" applyProtection="1">
      <alignment horizontal="center" vertical="center"/>
      <protection hidden="1"/>
    </xf>
    <xf numFmtId="0" fontId="40" fillId="0" borderId="6" xfId="0" applyFont="1" applyFill="1" applyBorder="1" applyAlignment="1" applyProtection="1">
      <alignment vertical="center" wrapText="1"/>
      <protection hidden="1"/>
    </xf>
    <xf numFmtId="0" fontId="40" fillId="0" borderId="3" xfId="0" applyFont="1" applyFill="1" applyBorder="1" applyAlignment="1" applyProtection="1">
      <alignment vertical="center" wrapText="1"/>
      <protection hidden="1"/>
    </xf>
    <xf numFmtId="0" fontId="40" fillId="0" borderId="7" xfId="0" applyFont="1" applyFill="1" applyBorder="1" applyAlignment="1" applyProtection="1">
      <alignment vertical="center" wrapText="1"/>
      <protection hidden="1"/>
    </xf>
    <xf numFmtId="0" fontId="48" fillId="0" borderId="22" xfId="0" applyFont="1" applyBorder="1" applyAlignment="1" applyProtection="1">
      <alignment horizontal="center" vertical="center"/>
      <protection hidden="1"/>
    </xf>
    <xf numFmtId="9" fontId="0" fillId="0" borderId="90" xfId="0" applyNumberFormat="1" applyBorder="1" applyAlignment="1" applyProtection="1">
      <alignment horizontal="center" vertical="center"/>
      <protection hidden="1"/>
    </xf>
    <xf numFmtId="9" fontId="0" fillId="0" borderId="91" xfId="0" applyNumberFormat="1" applyBorder="1" applyAlignment="1" applyProtection="1">
      <alignment horizontal="center" vertical="center"/>
      <protection hidden="1"/>
    </xf>
    <xf numFmtId="9" fontId="0" fillId="0" borderId="92" xfId="0" applyNumberFormat="1" applyBorder="1" applyAlignment="1" applyProtection="1">
      <alignment horizontal="center" vertical="center"/>
      <protection hidden="1"/>
    </xf>
    <xf numFmtId="9" fontId="0" fillId="0" borderId="93" xfId="0" applyNumberFormat="1" applyBorder="1" applyAlignment="1" applyProtection="1">
      <alignment horizontal="center" vertical="center"/>
      <protection hidden="1"/>
    </xf>
    <xf numFmtId="9" fontId="0" fillId="0" borderId="6" xfId="0" applyNumberFormat="1" applyBorder="1" applyAlignment="1" applyProtection="1">
      <alignment horizontal="center" vertical="center"/>
      <protection hidden="1"/>
    </xf>
    <xf numFmtId="9" fontId="0" fillId="0" borderId="3" xfId="0" applyNumberFormat="1" applyBorder="1" applyAlignment="1" applyProtection="1">
      <alignment horizontal="center" vertical="center"/>
      <protection hidden="1"/>
    </xf>
    <xf numFmtId="9" fontId="0" fillId="0" borderId="7" xfId="0" applyNumberFormat="1" applyBorder="1" applyAlignment="1" applyProtection="1">
      <alignment horizontal="center" vertical="center"/>
      <protection hidden="1"/>
    </xf>
    <xf numFmtId="9" fontId="42" fillId="2" borderId="26" xfId="0" applyNumberFormat="1" applyFont="1" applyFill="1" applyBorder="1" applyAlignment="1" applyProtection="1">
      <alignment horizontal="center" vertical="center"/>
      <protection hidden="1"/>
    </xf>
    <xf numFmtId="0" fontId="42" fillId="0" borderId="3" xfId="0" applyFont="1" applyFill="1" applyBorder="1" applyAlignment="1" applyProtection="1">
      <alignment horizontal="center" vertical="center"/>
      <protection hidden="1"/>
    </xf>
    <xf numFmtId="9" fontId="14" fillId="14" borderId="3" xfId="0" applyNumberFormat="1" applyFont="1" applyFill="1" applyBorder="1" applyAlignment="1" applyProtection="1">
      <alignment horizontal="center" vertical="center"/>
      <protection hidden="1"/>
    </xf>
    <xf numFmtId="49" fontId="55" fillId="4" borderId="2" xfId="0" applyNumberFormat="1" applyFont="1" applyFill="1" applyBorder="1" applyAlignment="1" applyProtection="1">
      <alignment horizontal="center" vertical="center" wrapText="1"/>
      <protection locked="0"/>
    </xf>
    <xf numFmtId="49" fontId="55" fillId="4" borderId="3" xfId="0" applyNumberFormat="1" applyFont="1" applyFill="1" applyBorder="1" applyAlignment="1" applyProtection="1">
      <alignment horizontal="center" vertical="center" wrapText="1"/>
      <protection locked="0"/>
    </xf>
    <xf numFmtId="49" fontId="55" fillId="4" borderId="4" xfId="0" applyNumberFormat="1" applyFont="1" applyFill="1" applyBorder="1" applyAlignment="1" applyProtection="1">
      <alignment horizontal="center" vertical="center" wrapText="1"/>
      <protection locked="0"/>
    </xf>
    <xf numFmtId="49" fontId="18" fillId="5" borderId="7" xfId="0" applyNumberFormat="1" applyFont="1" applyFill="1" applyBorder="1" applyAlignment="1" applyProtection="1">
      <alignment horizontal="center" vertical="center" wrapText="1"/>
      <protection hidden="1"/>
    </xf>
    <xf numFmtId="0" fontId="18" fillId="5" borderId="7" xfId="0" applyFont="1" applyFill="1" applyBorder="1" applyAlignment="1" applyProtection="1">
      <alignment horizontal="center" vertical="center" wrapText="1"/>
      <protection hidden="1"/>
    </xf>
    <xf numFmtId="0" fontId="18" fillId="5" borderId="10" xfId="0" applyFont="1" applyFill="1" applyBorder="1" applyAlignment="1" applyProtection="1">
      <alignment horizontal="center" vertical="center" wrapText="1"/>
      <protection hidden="1"/>
    </xf>
    <xf numFmtId="0" fontId="18" fillId="5" borderId="81" xfId="0" applyFont="1" applyFill="1" applyBorder="1" applyAlignment="1" applyProtection="1">
      <alignment horizontal="center" vertical="center" wrapText="1"/>
      <protection hidden="1"/>
    </xf>
    <xf numFmtId="0" fontId="0" fillId="0" borderId="0" xfId="0" applyProtection="1">
      <protection hidden="1"/>
    </xf>
    <xf numFmtId="9" fontId="0" fillId="0" borderId="0" xfId="1" applyFont="1" applyProtection="1">
      <protection hidden="1"/>
    </xf>
    <xf numFmtId="10" fontId="0" fillId="0" borderId="0" xfId="1" applyNumberFormat="1" applyFont="1" applyProtection="1">
      <protection hidden="1"/>
    </xf>
    <xf numFmtId="49" fontId="44" fillId="9" borderId="14" xfId="0" applyNumberFormat="1" applyFont="1" applyFill="1" applyBorder="1" applyAlignment="1">
      <alignment horizontal="center" vertical="center" wrapText="1"/>
    </xf>
    <xf numFmtId="49" fontId="44" fillId="9" borderId="11" xfId="0" applyNumberFormat="1" applyFont="1" applyFill="1" applyBorder="1" applyAlignment="1">
      <alignment horizontal="center" vertical="center" wrapText="1"/>
    </xf>
    <xf numFmtId="0" fontId="26" fillId="4" borderId="59" xfId="3" applyFont="1" applyFill="1" applyBorder="1" applyAlignment="1" applyProtection="1">
      <alignment horizontal="left" vertical="top" wrapText="1"/>
    </xf>
    <xf numFmtId="0" fontId="26" fillId="4" borderId="0" xfId="3" applyFont="1" applyFill="1" applyBorder="1" applyAlignment="1" applyProtection="1">
      <alignment horizontal="left" vertical="top" wrapText="1"/>
    </xf>
    <xf numFmtId="0" fontId="26" fillId="4" borderId="60" xfId="3" applyFont="1" applyFill="1" applyBorder="1" applyAlignment="1" applyProtection="1">
      <alignment horizontal="left" vertical="top" wrapText="1"/>
    </xf>
    <xf numFmtId="0" fontId="26" fillId="4" borderId="0" xfId="3" applyFont="1" applyFill="1" applyBorder="1" applyAlignment="1" applyProtection="1"/>
    <xf numFmtId="0" fontId="34" fillId="4" borderId="77" xfId="0" applyFont="1" applyFill="1" applyBorder="1" applyAlignment="1" applyProtection="1">
      <alignment horizontal="left" vertical="center" wrapText="1"/>
    </xf>
    <xf numFmtId="0" fontId="34" fillId="4" borderId="78" xfId="0" applyFont="1" applyFill="1" applyBorder="1" applyAlignment="1" applyProtection="1">
      <alignment horizontal="left" vertical="center" wrapText="1"/>
    </xf>
    <xf numFmtId="0" fontId="35" fillId="0" borderId="69" xfId="3" applyFont="1" applyFill="1" applyBorder="1" applyAlignment="1" applyProtection="1">
      <alignment horizontal="left" vertical="center" wrapText="1"/>
    </xf>
    <xf numFmtId="0" fontId="35" fillId="0" borderId="70" xfId="3" applyFont="1" applyFill="1" applyBorder="1" applyAlignment="1" applyProtection="1">
      <alignment horizontal="left" vertical="center" wrapText="1"/>
    </xf>
    <xf numFmtId="0" fontId="17" fillId="2" borderId="44" xfId="2" applyNumberFormat="1" applyFont="1" applyFill="1" applyBorder="1" applyAlignment="1" applyProtection="1">
      <alignment horizontal="center" vertical="center" wrapText="1"/>
    </xf>
    <xf numFmtId="0" fontId="17" fillId="2" borderId="45" xfId="2" applyNumberFormat="1" applyFont="1" applyFill="1" applyBorder="1" applyAlignment="1" applyProtection="1">
      <alignment horizontal="center" vertical="center" wrapText="1"/>
    </xf>
    <xf numFmtId="0" fontId="25" fillId="7" borderId="50" xfId="2" applyNumberFormat="1" applyFont="1" applyFill="1" applyBorder="1" applyAlignment="1" applyProtection="1">
      <alignment horizontal="center" vertical="center"/>
    </xf>
    <xf numFmtId="0" fontId="25" fillId="7" borderId="51" xfId="2" applyNumberFormat="1" applyFont="1" applyFill="1" applyBorder="1" applyAlignment="1" applyProtection="1">
      <alignment horizontal="center" vertical="center"/>
    </xf>
    <xf numFmtId="0" fontId="26" fillId="0" borderId="56" xfId="2" applyFont="1" applyFill="1" applyBorder="1" applyAlignment="1" applyProtection="1">
      <alignment horizontal="justify" vertical="center" wrapText="1"/>
    </xf>
    <xf numFmtId="0" fontId="26" fillId="0" borderId="57" xfId="2" applyFont="1" applyFill="1" applyBorder="1" applyAlignment="1" applyProtection="1">
      <alignment horizontal="justify" vertical="center" wrapText="1"/>
    </xf>
    <xf numFmtId="0" fontId="25" fillId="8" borderId="52" xfId="2" applyNumberFormat="1" applyFont="1" applyFill="1" applyBorder="1" applyAlignment="1" applyProtection="1">
      <alignment horizontal="center" vertical="center" wrapText="1"/>
    </xf>
    <xf numFmtId="0" fontId="25" fillId="8" borderId="53" xfId="2" applyNumberFormat="1" applyFont="1" applyFill="1" applyBorder="1" applyAlignment="1" applyProtection="1">
      <alignment horizontal="center" vertical="center"/>
    </xf>
    <xf numFmtId="0" fontId="26" fillId="0" borderId="53" xfId="2" applyFont="1" applyFill="1" applyBorder="1" applyAlignment="1" applyProtection="1">
      <alignment horizontal="justify" vertical="center" wrapText="1"/>
    </xf>
    <xf numFmtId="0" fontId="26" fillId="0" borderId="54" xfId="2" applyFont="1" applyFill="1" applyBorder="1" applyAlignment="1" applyProtection="1">
      <alignment horizontal="justify" vertical="center" wrapText="1"/>
    </xf>
    <xf numFmtId="0" fontId="37" fillId="4" borderId="71" xfId="2" applyNumberFormat="1" applyFont="1" applyFill="1" applyBorder="1" applyAlignment="1" applyProtection="1">
      <alignment horizontal="center" vertical="center" wrapText="1"/>
    </xf>
    <xf numFmtId="0" fontId="24" fillId="4" borderId="71" xfId="2" applyFont="1" applyFill="1" applyBorder="1" applyAlignment="1" applyProtection="1">
      <alignment horizontal="center" vertical="center" wrapText="1"/>
    </xf>
    <xf numFmtId="0" fontId="17" fillId="2" borderId="46" xfId="2" applyNumberFormat="1" applyFont="1" applyFill="1" applyBorder="1" applyAlignment="1" applyProtection="1">
      <alignment horizontal="center" vertical="center" wrapText="1"/>
    </xf>
    <xf numFmtId="0" fontId="25" fillId="14" borderId="47" xfId="2" applyNumberFormat="1" applyFont="1" applyFill="1" applyBorder="1" applyAlignment="1" applyProtection="1">
      <alignment horizontal="center" vertical="center"/>
    </xf>
    <xf numFmtId="0" fontId="25" fillId="14" borderId="48" xfId="2" applyNumberFormat="1" applyFont="1" applyFill="1" applyBorder="1" applyAlignment="1" applyProtection="1">
      <alignment horizontal="center" vertical="center"/>
    </xf>
    <xf numFmtId="0" fontId="26" fillId="0" borderId="48" xfId="2" applyFont="1" applyFill="1" applyBorder="1" applyAlignment="1" applyProtection="1">
      <alignment horizontal="justify" vertical="center" wrapText="1"/>
    </xf>
    <xf numFmtId="0" fontId="26" fillId="0" borderId="49" xfId="2" applyFont="1" applyFill="1" applyBorder="1" applyAlignment="1" applyProtection="1">
      <alignment horizontal="justify" vertical="center" wrapText="1"/>
    </xf>
    <xf numFmtId="0" fontId="34" fillId="4" borderId="75" xfId="4" applyFont="1" applyFill="1" applyBorder="1" applyAlignment="1" applyProtection="1">
      <alignment horizontal="left" vertical="center" wrapText="1" readingOrder="1"/>
    </xf>
    <xf numFmtId="0" fontId="34" fillId="4" borderId="76" xfId="4" applyFont="1" applyFill="1" applyBorder="1" applyAlignment="1" applyProtection="1">
      <alignment horizontal="left" vertical="center" wrapText="1" readingOrder="1"/>
    </xf>
    <xf numFmtId="0" fontId="35" fillId="0" borderId="65" xfId="3" applyFont="1" applyFill="1" applyBorder="1" applyAlignment="1" applyProtection="1">
      <alignment horizontal="left" vertical="center" wrapText="1"/>
    </xf>
    <xf numFmtId="0" fontId="35" fillId="0" borderId="66" xfId="3" applyFont="1" applyFill="1" applyBorder="1" applyAlignment="1" applyProtection="1">
      <alignment horizontal="left" vertical="center" wrapText="1"/>
    </xf>
    <xf numFmtId="0" fontId="34" fillId="4" borderId="67" xfId="0" applyFont="1" applyFill="1" applyBorder="1" applyAlignment="1" applyProtection="1">
      <alignment horizontal="left" vertical="center" wrapText="1"/>
    </xf>
    <xf numFmtId="0" fontId="34" fillId="4" borderId="68" xfId="0" applyFont="1" applyFill="1" applyBorder="1" applyAlignment="1" applyProtection="1">
      <alignment horizontal="left" vertical="center" wrapText="1"/>
    </xf>
    <xf numFmtId="0" fontId="35" fillId="0" borderId="69" xfId="3" applyFont="1" applyFill="1" applyBorder="1" applyAlignment="1" applyProtection="1">
      <alignment horizontal="left" vertical="top" wrapText="1"/>
    </xf>
    <xf numFmtId="0" fontId="35" fillId="0" borderId="70" xfId="3" applyFont="1" applyFill="1" applyBorder="1" applyAlignment="1" applyProtection="1">
      <alignment horizontal="left" vertical="top" wrapText="1"/>
    </xf>
    <xf numFmtId="0" fontId="30" fillId="0" borderId="58" xfId="3" applyFont="1" applyBorder="1" applyAlignment="1" applyProtection="1">
      <alignment horizontal="center" vertical="center" wrapText="1"/>
    </xf>
    <xf numFmtId="0" fontId="30" fillId="0" borderId="55" xfId="3" applyFont="1" applyBorder="1" applyAlignment="1" applyProtection="1">
      <alignment horizontal="center" vertical="center" wrapText="1"/>
    </xf>
    <xf numFmtId="0" fontId="30" fillId="0" borderId="8" xfId="3" applyFont="1" applyBorder="1" applyAlignment="1" applyProtection="1">
      <alignment horizontal="center" vertical="center" wrapText="1"/>
    </xf>
    <xf numFmtId="0" fontId="26" fillId="0" borderId="59" xfId="3" quotePrefix="1" applyFont="1" applyBorder="1" applyAlignment="1" applyProtection="1">
      <alignment horizontal="left" vertical="center" wrapText="1"/>
    </xf>
    <xf numFmtId="0" fontId="26" fillId="0" borderId="0" xfId="3" quotePrefix="1" applyFont="1" applyBorder="1" applyAlignment="1" applyProtection="1">
      <alignment horizontal="left" vertical="center" wrapText="1"/>
    </xf>
    <xf numFmtId="0" fontId="26" fillId="0" borderId="60" xfId="3" quotePrefix="1" applyFont="1" applyBorder="1" applyAlignment="1" applyProtection="1">
      <alignment horizontal="left" vertical="center" wrapText="1"/>
    </xf>
    <xf numFmtId="0" fontId="31" fillId="4" borderId="59" xfId="3" quotePrefix="1" applyFont="1" applyFill="1" applyBorder="1" applyAlignment="1" applyProtection="1">
      <alignment horizontal="left" vertical="top" wrapText="1"/>
    </xf>
    <xf numFmtId="0" fontId="25" fillId="4" borderId="0" xfId="3" quotePrefix="1" applyFont="1" applyFill="1" applyBorder="1" applyAlignment="1" applyProtection="1">
      <alignment horizontal="left" vertical="top" wrapText="1"/>
    </xf>
    <xf numFmtId="0" fontId="25" fillId="4" borderId="60" xfId="3" quotePrefix="1" applyFont="1" applyFill="1" applyBorder="1" applyAlignment="1" applyProtection="1">
      <alignment horizontal="left" vertical="top" wrapText="1"/>
    </xf>
    <xf numFmtId="0" fontId="26" fillId="4" borderId="59" xfId="3" quotePrefix="1" applyFont="1" applyFill="1" applyBorder="1" applyAlignment="1" applyProtection="1">
      <alignment horizontal="left" vertical="top" wrapText="1"/>
    </xf>
    <xf numFmtId="0" fontId="26" fillId="4" borderId="0" xfId="3" quotePrefix="1" applyFont="1" applyFill="1" applyBorder="1" applyAlignment="1" applyProtection="1">
      <alignment horizontal="left" vertical="top" wrapText="1"/>
    </xf>
    <xf numFmtId="0" fontId="26" fillId="4" borderId="60" xfId="3" quotePrefix="1" applyFont="1" applyFill="1" applyBorder="1" applyAlignment="1" applyProtection="1">
      <alignment horizontal="left" vertical="top" wrapText="1"/>
    </xf>
    <xf numFmtId="0" fontId="34" fillId="16" borderId="61" xfId="4" applyFont="1" applyFill="1" applyBorder="1" applyAlignment="1" applyProtection="1">
      <alignment horizontal="center" vertical="center" wrapText="1"/>
    </xf>
    <xf numFmtId="0" fontId="34" fillId="16" borderId="62" xfId="4" applyFont="1" applyFill="1" applyBorder="1" applyAlignment="1" applyProtection="1">
      <alignment horizontal="center" vertical="center" wrapText="1"/>
    </xf>
    <xf numFmtId="0" fontId="34" fillId="16" borderId="63" xfId="3" applyFont="1" applyFill="1" applyBorder="1" applyAlignment="1" applyProtection="1">
      <alignment horizontal="center" vertical="center"/>
    </xf>
    <xf numFmtId="0" fontId="34" fillId="16" borderId="64" xfId="3" applyFont="1" applyFill="1" applyBorder="1" applyAlignment="1" applyProtection="1">
      <alignment horizontal="center" vertical="center"/>
    </xf>
    <xf numFmtId="49" fontId="45" fillId="5" borderId="0" xfId="0" applyNumberFormat="1" applyFont="1" applyFill="1" applyBorder="1" applyAlignment="1">
      <alignment horizontal="center" vertical="center"/>
    </xf>
    <xf numFmtId="0" fontId="44" fillId="11" borderId="11" xfId="0" applyFont="1" applyFill="1" applyBorder="1" applyAlignment="1">
      <alignment horizontal="center" vertical="center" wrapText="1"/>
    </xf>
    <xf numFmtId="0" fontId="44" fillId="11" borderId="12" xfId="0" applyFont="1" applyFill="1" applyBorder="1" applyAlignment="1">
      <alignment horizontal="center" vertical="center" wrapText="1"/>
    </xf>
    <xf numFmtId="0" fontId="44" fillId="11" borderId="13" xfId="0" applyFont="1" applyFill="1" applyBorder="1" applyAlignment="1">
      <alignment horizontal="center" vertical="center" wrapText="1"/>
    </xf>
    <xf numFmtId="49" fontId="44" fillId="11" borderId="14" xfId="0" applyNumberFormat="1" applyFont="1" applyFill="1" applyBorder="1" applyAlignment="1">
      <alignment horizontal="center" vertical="center" wrapText="1"/>
    </xf>
    <xf numFmtId="49" fontId="44" fillId="11" borderId="15" xfId="0" applyNumberFormat="1" applyFont="1" applyFill="1" applyBorder="1" applyAlignment="1">
      <alignment horizontal="center" vertical="center" wrapText="1"/>
    </xf>
    <xf numFmtId="49" fontId="44" fillId="11" borderId="16" xfId="0" applyNumberFormat="1" applyFont="1" applyFill="1" applyBorder="1" applyAlignment="1">
      <alignment horizontal="center" vertical="center" wrapText="1"/>
    </xf>
    <xf numFmtId="0" fontId="44" fillId="9" borderId="11" xfId="0" applyFont="1" applyFill="1" applyBorder="1" applyAlignment="1">
      <alignment horizontal="center" vertical="center" wrapText="1"/>
    </xf>
    <xf numFmtId="0" fontId="44" fillId="9" borderId="12" xfId="0" applyFont="1" applyFill="1" applyBorder="1" applyAlignment="1">
      <alignment horizontal="center" vertical="center" wrapText="1"/>
    </xf>
    <xf numFmtId="0" fontId="44" fillId="9" borderId="13" xfId="0" applyFont="1" applyFill="1" applyBorder="1" applyAlignment="1">
      <alignment horizontal="center" vertical="center" wrapText="1"/>
    </xf>
    <xf numFmtId="49" fontId="44" fillId="9" borderId="14" xfId="0" applyNumberFormat="1" applyFont="1" applyFill="1" applyBorder="1" applyAlignment="1">
      <alignment horizontal="center" vertical="center" wrapText="1"/>
    </xf>
    <xf numFmtId="49" fontId="44" fillId="9" borderId="15" xfId="0" applyNumberFormat="1" applyFont="1" applyFill="1" applyBorder="1" applyAlignment="1">
      <alignment horizontal="center" vertical="center" wrapText="1"/>
    </xf>
    <xf numFmtId="49" fontId="44" fillId="9" borderId="16" xfId="0" applyNumberFormat="1" applyFont="1" applyFill="1" applyBorder="1" applyAlignment="1">
      <alignment horizontal="center" vertical="center" wrapText="1"/>
    </xf>
    <xf numFmtId="0" fontId="44" fillId="6" borderId="11" xfId="0" applyFont="1" applyFill="1" applyBorder="1" applyAlignment="1">
      <alignment horizontal="center" vertical="center" wrapText="1"/>
    </xf>
    <xf numFmtId="0" fontId="44" fillId="6" borderId="12" xfId="0" applyFont="1" applyFill="1" applyBorder="1" applyAlignment="1">
      <alignment horizontal="center" vertical="center" wrapText="1"/>
    </xf>
    <xf numFmtId="0" fontId="44" fillId="6" borderId="13" xfId="0" applyFont="1" applyFill="1" applyBorder="1" applyAlignment="1">
      <alignment horizontal="center" vertical="center" wrapText="1"/>
    </xf>
    <xf numFmtId="49" fontId="8" fillId="6" borderId="14" xfId="0" applyNumberFormat="1" applyFont="1" applyFill="1" applyBorder="1" applyAlignment="1">
      <alignment horizontal="center" vertical="center" wrapText="1"/>
    </xf>
    <xf numFmtId="49" fontId="8" fillId="6" borderId="15" xfId="0" applyNumberFormat="1" applyFont="1" applyFill="1" applyBorder="1" applyAlignment="1">
      <alignment horizontal="center" vertical="center" wrapText="1"/>
    </xf>
    <xf numFmtId="49" fontId="8" fillId="6" borderId="16" xfId="0" applyNumberFormat="1" applyFont="1" applyFill="1" applyBorder="1" applyAlignment="1">
      <alignment horizontal="center" vertical="center" wrapText="1"/>
    </xf>
    <xf numFmtId="49" fontId="8" fillId="10" borderId="14" xfId="0" applyNumberFormat="1" applyFont="1" applyFill="1" applyBorder="1" applyAlignment="1">
      <alignment horizontal="center" vertical="center" wrapText="1"/>
    </xf>
    <xf numFmtId="49" fontId="8" fillId="10" borderId="15" xfId="0" applyNumberFormat="1" applyFont="1" applyFill="1" applyBorder="1" applyAlignment="1">
      <alignment horizontal="center" vertical="center" wrapText="1"/>
    </xf>
    <xf numFmtId="49" fontId="8" fillId="10" borderId="16" xfId="0" applyNumberFormat="1" applyFont="1" applyFill="1" applyBorder="1" applyAlignment="1">
      <alignment horizontal="center" vertical="center" wrapText="1"/>
    </xf>
    <xf numFmtId="0" fontId="44" fillId="10" borderId="11" xfId="0" applyFont="1" applyFill="1" applyBorder="1" applyAlignment="1">
      <alignment horizontal="center" vertical="center" wrapText="1"/>
    </xf>
    <xf numFmtId="0" fontId="44" fillId="10" borderId="12" xfId="0" applyFont="1" applyFill="1" applyBorder="1" applyAlignment="1">
      <alignment horizontal="center" vertical="center" wrapText="1"/>
    </xf>
    <xf numFmtId="0" fontId="44" fillId="10" borderId="13" xfId="0" applyFont="1" applyFill="1" applyBorder="1" applyAlignment="1">
      <alignment horizontal="center" vertical="center" wrapText="1"/>
    </xf>
    <xf numFmtId="0" fontId="44" fillId="9" borderId="6" xfId="0" applyFont="1" applyFill="1" applyBorder="1" applyAlignment="1">
      <alignment horizontal="center" vertical="center" wrapText="1"/>
    </xf>
    <xf numFmtId="49" fontId="44" fillId="6" borderId="11" xfId="0" applyNumberFormat="1" applyFont="1" applyFill="1" applyBorder="1" applyAlignment="1">
      <alignment horizontal="center" vertical="center" wrapText="1"/>
    </xf>
    <xf numFmtId="49" fontId="44" fillId="6" borderId="12" xfId="0" applyNumberFormat="1" applyFont="1" applyFill="1" applyBorder="1" applyAlignment="1">
      <alignment horizontal="center" vertical="center" wrapText="1"/>
    </xf>
    <xf numFmtId="49" fontId="44" fillId="6" borderId="13" xfId="0" applyNumberFormat="1" applyFont="1" applyFill="1" applyBorder="1" applyAlignment="1">
      <alignment horizontal="center" vertical="center" wrapText="1"/>
    </xf>
    <xf numFmtId="49" fontId="44" fillId="10" borderId="11" xfId="0" applyNumberFormat="1" applyFont="1" applyFill="1" applyBorder="1" applyAlignment="1">
      <alignment horizontal="center" vertical="center" wrapText="1"/>
    </xf>
    <xf numFmtId="49" fontId="44" fillId="10" borderId="12" xfId="0" applyNumberFormat="1" applyFont="1" applyFill="1" applyBorder="1" applyAlignment="1">
      <alignment horizontal="center" vertical="center" wrapText="1"/>
    </xf>
    <xf numFmtId="49" fontId="44" fillId="10" borderId="13" xfId="0" applyNumberFormat="1" applyFont="1" applyFill="1" applyBorder="1" applyAlignment="1">
      <alignment horizontal="center" vertical="center" wrapText="1"/>
    </xf>
    <xf numFmtId="49" fontId="44" fillId="2" borderId="11" xfId="0" applyNumberFormat="1" applyFont="1" applyFill="1" applyBorder="1" applyAlignment="1">
      <alignment horizontal="center" vertical="center" wrapText="1"/>
    </xf>
    <xf numFmtId="49" fontId="44" fillId="2" borderId="12" xfId="0" applyNumberFormat="1" applyFont="1" applyFill="1" applyBorder="1" applyAlignment="1">
      <alignment horizontal="center" vertical="center" wrapText="1"/>
    </xf>
    <xf numFmtId="49" fontId="44" fillId="2" borderId="13" xfId="0" applyNumberFormat="1" applyFont="1" applyFill="1" applyBorder="1" applyAlignment="1">
      <alignment horizontal="center" vertical="center" wrapText="1"/>
    </xf>
    <xf numFmtId="49" fontId="44" fillId="11" borderId="11" xfId="0" applyNumberFormat="1" applyFont="1" applyFill="1" applyBorder="1" applyAlignment="1">
      <alignment horizontal="center" vertical="center" wrapText="1"/>
    </xf>
    <xf numFmtId="49" fontId="44" fillId="11" borderId="12" xfId="0" applyNumberFormat="1" applyFont="1" applyFill="1" applyBorder="1" applyAlignment="1">
      <alignment horizontal="center" vertical="center" wrapText="1"/>
    </xf>
    <xf numFmtId="49" fontId="44" fillId="11" borderId="13" xfId="0" applyNumberFormat="1" applyFont="1" applyFill="1" applyBorder="1" applyAlignment="1">
      <alignment horizontal="center" vertical="center" wrapText="1"/>
    </xf>
    <xf numFmtId="49" fontId="44" fillId="9" borderId="11" xfId="0" applyNumberFormat="1" applyFont="1" applyFill="1" applyBorder="1" applyAlignment="1">
      <alignment horizontal="center" vertical="center" wrapText="1"/>
    </xf>
    <xf numFmtId="49" fontId="44" fillId="9" borderId="12" xfId="0" applyNumberFormat="1" applyFont="1" applyFill="1" applyBorder="1" applyAlignment="1">
      <alignment horizontal="center" vertical="center" wrapText="1"/>
    </xf>
    <xf numFmtId="49" fontId="44" fillId="9" borderId="13" xfId="0" applyNumberFormat="1" applyFont="1" applyFill="1" applyBorder="1" applyAlignment="1">
      <alignment horizontal="center" vertical="center" wrapText="1"/>
    </xf>
    <xf numFmtId="49" fontId="44" fillId="10" borderId="3" xfId="0" applyNumberFormat="1" applyFont="1" applyFill="1" applyBorder="1" applyAlignment="1">
      <alignment horizontal="center" vertical="center" wrapText="1"/>
    </xf>
    <xf numFmtId="0" fontId="44" fillId="10" borderId="3" xfId="0" applyFont="1" applyFill="1" applyBorder="1" applyAlignment="1">
      <alignment horizontal="center" vertical="center" wrapText="1"/>
    </xf>
    <xf numFmtId="49" fontId="44" fillId="10" borderId="15" xfId="0" applyNumberFormat="1" applyFont="1" applyFill="1" applyBorder="1" applyAlignment="1">
      <alignment horizontal="center" vertical="center" wrapText="1"/>
    </xf>
    <xf numFmtId="49" fontId="44" fillId="2" borderId="14" xfId="0" applyNumberFormat="1" applyFont="1" applyFill="1" applyBorder="1" applyAlignment="1">
      <alignment horizontal="center" vertical="center" wrapText="1"/>
    </xf>
    <xf numFmtId="49" fontId="44" fillId="2" borderId="15" xfId="0" applyNumberFormat="1" applyFont="1" applyFill="1" applyBorder="1" applyAlignment="1">
      <alignment horizontal="center" vertical="center" wrapText="1"/>
    </xf>
    <xf numFmtId="49" fontId="44" fillId="2" borderId="16" xfId="0" applyNumberFormat="1" applyFont="1" applyFill="1" applyBorder="1" applyAlignment="1">
      <alignment horizontal="center" vertical="center" wrapText="1"/>
    </xf>
    <xf numFmtId="0" fontId="44" fillId="2" borderId="11" xfId="0" applyFont="1" applyFill="1" applyBorder="1" applyAlignment="1">
      <alignment horizontal="center" vertical="center" wrapText="1"/>
    </xf>
    <xf numFmtId="0" fontId="44" fillId="2" borderId="12" xfId="0" applyFont="1" applyFill="1" applyBorder="1" applyAlignment="1">
      <alignment horizontal="center" vertical="center" wrapText="1"/>
    </xf>
    <xf numFmtId="0" fontId="44" fillId="2" borderId="13" xfId="0" applyFont="1" applyFill="1" applyBorder="1" applyAlignment="1">
      <alignment horizontal="center" vertical="center" wrapText="1"/>
    </xf>
    <xf numFmtId="0" fontId="6" fillId="2" borderId="24" xfId="0" applyFont="1" applyFill="1" applyBorder="1" applyAlignment="1">
      <alignment horizontal="center" vertical="center"/>
    </xf>
    <xf numFmtId="0" fontId="6" fillId="2" borderId="1" xfId="0" applyFont="1" applyFill="1" applyBorder="1" applyAlignment="1">
      <alignment horizontal="center" vertical="center"/>
    </xf>
    <xf numFmtId="0" fontId="6" fillId="2" borderId="25" xfId="0" applyFont="1" applyFill="1" applyBorder="1" applyAlignment="1">
      <alignment horizontal="center" vertical="center"/>
    </xf>
    <xf numFmtId="0" fontId="19" fillId="3" borderId="32" xfId="2" applyFont="1" applyFill="1" applyBorder="1" applyAlignment="1" applyProtection="1">
      <alignment horizontal="center" vertical="center" wrapText="1"/>
    </xf>
    <xf numFmtId="0" fontId="19" fillId="3" borderId="33" xfId="2" applyFont="1" applyFill="1" applyBorder="1" applyAlignment="1" applyProtection="1">
      <alignment horizontal="center" vertical="center" wrapText="1"/>
    </xf>
    <xf numFmtId="0" fontId="23" fillId="6" borderId="14" xfId="0" applyFont="1" applyFill="1" applyBorder="1" applyAlignment="1">
      <alignment horizontal="center" vertical="center" textRotation="90" wrapText="1"/>
    </xf>
    <xf numFmtId="0" fontId="23" fillId="6" borderId="15" xfId="0" applyFont="1" applyFill="1" applyBorder="1" applyAlignment="1">
      <alignment horizontal="center" vertical="center" textRotation="90" wrapText="1"/>
    </xf>
    <xf numFmtId="0" fontId="23" fillId="6" borderId="16" xfId="0" applyFont="1" applyFill="1" applyBorder="1" applyAlignment="1">
      <alignment horizontal="center" vertical="center" textRotation="90" wrapText="1"/>
    </xf>
    <xf numFmtId="0" fontId="19" fillId="2" borderId="37" xfId="2" applyFont="1" applyFill="1" applyBorder="1" applyAlignment="1" applyProtection="1">
      <alignment horizontal="center" vertical="center" wrapText="1"/>
    </xf>
    <xf numFmtId="0" fontId="19" fillId="2" borderId="83" xfId="2" applyFont="1" applyFill="1" applyBorder="1" applyAlignment="1" applyProtection="1">
      <alignment horizontal="center" vertical="center" wrapText="1"/>
    </xf>
    <xf numFmtId="0" fontId="19" fillId="2" borderId="38" xfId="2" applyFont="1" applyFill="1" applyBorder="1" applyAlignment="1" applyProtection="1">
      <alignment horizontal="center" vertical="center" wrapText="1"/>
    </xf>
    <xf numFmtId="0" fontId="19" fillId="2" borderId="39" xfId="2" applyFont="1" applyFill="1" applyBorder="1" applyAlignment="1" applyProtection="1">
      <alignment horizontal="center" vertical="center" wrapText="1"/>
    </xf>
    <xf numFmtId="0" fontId="19" fillId="2" borderId="40" xfId="2" applyFont="1" applyFill="1" applyBorder="1" applyAlignment="1" applyProtection="1">
      <alignment horizontal="center" vertical="center" wrapText="1"/>
    </xf>
    <xf numFmtId="0" fontId="19" fillId="2" borderId="42" xfId="2" applyFont="1" applyFill="1" applyBorder="1" applyAlignment="1" applyProtection="1">
      <alignment horizontal="center" vertical="center" wrapText="1"/>
    </xf>
    <xf numFmtId="0" fontId="19" fillId="2" borderId="41" xfId="2" applyFont="1" applyFill="1" applyBorder="1" applyAlignment="1" applyProtection="1">
      <alignment horizontal="center" vertical="center" wrapText="1"/>
    </xf>
    <xf numFmtId="0" fontId="19" fillId="2" borderId="43" xfId="2" applyFont="1" applyFill="1" applyBorder="1" applyAlignment="1" applyProtection="1">
      <alignment horizontal="center" vertical="center" wrapText="1"/>
    </xf>
    <xf numFmtId="9" fontId="41" fillId="0" borderId="87" xfId="0" applyNumberFormat="1" applyFont="1" applyBorder="1" applyAlignment="1" applyProtection="1">
      <alignment horizontal="center" vertical="center"/>
      <protection hidden="1"/>
    </xf>
    <xf numFmtId="9" fontId="41" fillId="0" borderId="88" xfId="0" applyNumberFormat="1" applyFont="1" applyBorder="1" applyAlignment="1" applyProtection="1">
      <alignment horizontal="center" vertical="center"/>
      <protection hidden="1"/>
    </xf>
    <xf numFmtId="9" fontId="28" fillId="7" borderId="84" xfId="1" applyFont="1" applyFill="1" applyBorder="1" applyAlignment="1" applyProtection="1">
      <alignment horizontal="center" vertical="center"/>
      <protection hidden="1"/>
    </xf>
    <xf numFmtId="9" fontId="28" fillId="7" borderId="85" xfId="1" applyFont="1" applyFill="1" applyBorder="1" applyAlignment="1" applyProtection="1">
      <alignment horizontal="center" vertical="center"/>
      <protection hidden="1"/>
    </xf>
    <xf numFmtId="9" fontId="28" fillId="7" borderId="86" xfId="1" applyFont="1" applyFill="1" applyBorder="1" applyAlignment="1" applyProtection="1">
      <alignment horizontal="center" vertical="center"/>
      <protection hidden="1"/>
    </xf>
    <xf numFmtId="0" fontId="27" fillId="9" borderId="14" xfId="0" applyFont="1" applyFill="1" applyBorder="1" applyAlignment="1">
      <alignment horizontal="center" vertical="center" textRotation="90"/>
    </xf>
    <xf numFmtId="0" fontId="27" fillId="9" borderId="15" xfId="0" applyFont="1" applyFill="1" applyBorder="1" applyAlignment="1">
      <alignment horizontal="center" vertical="center" textRotation="90"/>
    </xf>
    <xf numFmtId="0" fontId="27" fillId="9" borderId="16" xfId="0" applyFont="1" applyFill="1" applyBorder="1" applyAlignment="1">
      <alignment horizontal="center" vertical="center" textRotation="90"/>
    </xf>
    <xf numFmtId="9" fontId="41" fillId="4" borderId="87" xfId="0" applyNumberFormat="1" applyFont="1" applyFill="1" applyBorder="1" applyAlignment="1" applyProtection="1">
      <alignment horizontal="center" vertical="center"/>
      <protection hidden="1"/>
    </xf>
    <xf numFmtId="9" fontId="41" fillId="4" borderId="88" xfId="0" applyNumberFormat="1" applyFont="1" applyFill="1" applyBorder="1" applyAlignment="1" applyProtection="1">
      <alignment horizontal="center" vertical="center"/>
      <protection hidden="1"/>
    </xf>
    <xf numFmtId="9" fontId="41" fillId="4" borderId="89" xfId="0" applyNumberFormat="1" applyFont="1" applyFill="1" applyBorder="1" applyAlignment="1" applyProtection="1">
      <alignment horizontal="center" vertical="center"/>
      <protection hidden="1"/>
    </xf>
    <xf numFmtId="0" fontId="27" fillId="11" borderId="15" xfId="0" applyFont="1" applyFill="1" applyBorder="1" applyAlignment="1">
      <alignment horizontal="center" vertical="center" textRotation="90"/>
    </xf>
    <xf numFmtId="0" fontId="27" fillId="2" borderId="14" xfId="0" applyFont="1" applyFill="1" applyBorder="1" applyAlignment="1">
      <alignment horizontal="center" vertical="center" textRotation="90"/>
    </xf>
    <xf numFmtId="0" fontId="27" fillId="2" borderId="15" xfId="0" applyFont="1" applyFill="1" applyBorder="1" applyAlignment="1">
      <alignment horizontal="center" vertical="center" textRotation="90"/>
    </xf>
    <xf numFmtId="0" fontId="27" fillId="2" borderId="16" xfId="0" applyFont="1" applyFill="1" applyBorder="1" applyAlignment="1">
      <alignment horizontal="center" vertical="center" textRotation="90"/>
    </xf>
    <xf numFmtId="9" fontId="41" fillId="0" borderId="89" xfId="0" applyNumberFormat="1" applyFont="1" applyBorder="1" applyAlignment="1" applyProtection="1">
      <alignment horizontal="center" vertical="center"/>
      <protection hidden="1"/>
    </xf>
    <xf numFmtId="0" fontId="27" fillId="10" borderId="14" xfId="0" applyFont="1" applyFill="1" applyBorder="1" applyAlignment="1">
      <alignment horizontal="center" vertical="center" textRotation="90"/>
    </xf>
    <xf numFmtId="0" fontId="27" fillId="10" borderId="15" xfId="0" applyFont="1" applyFill="1" applyBorder="1" applyAlignment="1">
      <alignment horizontal="center" vertical="center" textRotation="90"/>
    </xf>
    <xf numFmtId="0" fontId="0" fillId="0" borderId="24" xfId="0" applyBorder="1" applyAlignment="1" applyProtection="1">
      <alignment horizontal="left" vertical="top" wrapText="1"/>
      <protection locked="0"/>
    </xf>
    <xf numFmtId="0" fontId="0" fillId="0" borderId="1" xfId="0" applyBorder="1" applyAlignment="1" applyProtection="1">
      <alignment horizontal="left" vertical="top"/>
      <protection locked="0"/>
    </xf>
    <xf numFmtId="0" fontId="0" fillId="0" borderId="25" xfId="0" applyBorder="1" applyAlignment="1" applyProtection="1">
      <alignment horizontal="left" vertical="top"/>
      <protection locked="0"/>
    </xf>
    <xf numFmtId="0" fontId="52" fillId="12" borderId="0" xfId="0" applyFont="1" applyFill="1" applyBorder="1" applyAlignment="1">
      <alignment horizontal="center" vertical="center" wrapText="1"/>
    </xf>
    <xf numFmtId="0" fontId="57" fillId="0" borderId="24" xfId="0" applyFont="1" applyFill="1" applyBorder="1" applyAlignment="1" applyProtection="1">
      <alignment horizontal="left" vertical="top" wrapText="1"/>
      <protection locked="0"/>
    </xf>
    <xf numFmtId="0" fontId="57" fillId="0" borderId="1" xfId="0" applyFont="1" applyFill="1" applyBorder="1" applyAlignment="1" applyProtection="1">
      <alignment horizontal="left" vertical="top"/>
      <protection locked="0"/>
    </xf>
    <xf numFmtId="0" fontId="57" fillId="0" borderId="25" xfId="0" applyFont="1" applyFill="1" applyBorder="1" applyAlignment="1" applyProtection="1">
      <alignment horizontal="left" vertical="top"/>
      <protection locked="0"/>
    </xf>
    <xf numFmtId="0" fontId="0" fillId="0" borderId="73" xfId="0" applyBorder="1" applyAlignment="1">
      <alignment horizontal="center"/>
    </xf>
    <xf numFmtId="0" fontId="0" fillId="0" borderId="1" xfId="0" applyBorder="1" applyAlignment="1">
      <alignment horizontal="center"/>
    </xf>
    <xf numFmtId="49" fontId="49" fillId="4" borderId="91" xfId="0" applyNumberFormat="1" applyFont="1" applyFill="1" applyBorder="1" applyAlignment="1">
      <alignment horizontal="left" vertical="center" wrapText="1"/>
    </xf>
    <xf numFmtId="49" fontId="49" fillId="4" borderId="3" xfId="0" applyNumberFormat="1" applyFont="1" applyFill="1" applyBorder="1" applyAlignment="1">
      <alignment horizontal="left" vertical="center" wrapText="1"/>
    </xf>
    <xf numFmtId="49" fontId="49" fillId="4" borderId="92" xfId="0" applyNumberFormat="1" applyFont="1" applyFill="1" applyBorder="1" applyAlignment="1">
      <alignment horizontal="left" vertical="center" wrapText="1"/>
    </xf>
    <xf numFmtId="49" fontId="49" fillId="4" borderId="4" xfId="0" applyNumberFormat="1" applyFont="1" applyFill="1" applyBorder="1" applyAlignment="1">
      <alignment horizontal="left" vertical="center" wrapText="1"/>
    </xf>
    <xf numFmtId="0" fontId="51" fillId="2" borderId="7" xfId="0" applyFont="1" applyFill="1" applyBorder="1" applyAlignment="1">
      <alignment horizontal="center" vertical="center" wrapText="1"/>
    </xf>
    <xf numFmtId="0" fontId="51" fillId="2" borderId="6" xfId="0" applyFont="1" applyFill="1" applyBorder="1" applyAlignment="1">
      <alignment horizontal="center" vertical="center" wrapText="1"/>
    </xf>
    <xf numFmtId="0" fontId="56" fillId="4" borderId="3" xfId="0" applyFont="1" applyFill="1" applyBorder="1" applyAlignment="1" applyProtection="1">
      <alignment horizontal="center" vertical="center"/>
      <protection locked="0"/>
    </xf>
    <xf numFmtId="164" fontId="56" fillId="4" borderId="22" xfId="0" applyNumberFormat="1" applyFont="1" applyFill="1" applyBorder="1" applyAlignment="1" applyProtection="1">
      <alignment horizontal="center" vertical="center"/>
      <protection locked="0"/>
    </xf>
    <xf numFmtId="164" fontId="56" fillId="4" borderId="23" xfId="0" applyNumberFormat="1" applyFont="1" applyFill="1" applyBorder="1" applyAlignment="1" applyProtection="1">
      <alignment horizontal="center" vertical="center"/>
      <protection locked="0"/>
    </xf>
    <xf numFmtId="164" fontId="56" fillId="4" borderId="9" xfId="0" applyNumberFormat="1" applyFont="1" applyFill="1" applyBorder="1" applyAlignment="1" applyProtection="1">
      <alignment horizontal="center" vertical="center"/>
      <protection locked="0"/>
    </xf>
    <xf numFmtId="0" fontId="52" fillId="2" borderId="24" xfId="0" applyFont="1" applyFill="1" applyBorder="1" applyAlignment="1">
      <alignment horizontal="center" vertical="center" wrapText="1"/>
    </xf>
    <xf numFmtId="0" fontId="52" fillId="2" borderId="1" xfId="0" applyFont="1" applyFill="1" applyBorder="1" applyAlignment="1">
      <alignment horizontal="center" vertical="center" wrapText="1"/>
    </xf>
    <xf numFmtId="0" fontId="52" fillId="2" borderId="25" xfId="0" applyFont="1" applyFill="1" applyBorder="1" applyAlignment="1">
      <alignment horizontal="center" vertical="center" wrapText="1"/>
    </xf>
    <xf numFmtId="0" fontId="9" fillId="2" borderId="27" xfId="0" applyFont="1" applyFill="1" applyBorder="1" applyAlignment="1">
      <alignment horizontal="center" vertical="center"/>
    </xf>
    <xf numFmtId="0" fontId="9" fillId="2" borderId="28" xfId="0" applyFont="1" applyFill="1" applyBorder="1" applyAlignment="1">
      <alignment horizontal="center" vertical="center"/>
    </xf>
    <xf numFmtId="0" fontId="9" fillId="2" borderId="29" xfId="0" applyFont="1" applyFill="1" applyBorder="1" applyAlignment="1">
      <alignment horizontal="center" vertical="center"/>
    </xf>
    <xf numFmtId="49" fontId="49" fillId="4" borderId="90" xfId="0" applyNumberFormat="1" applyFont="1" applyFill="1" applyBorder="1" applyAlignment="1">
      <alignment horizontal="left" vertical="center" wrapText="1"/>
    </xf>
    <xf numFmtId="49" fontId="49" fillId="4" borderId="2" xfId="0" applyNumberFormat="1" applyFont="1" applyFill="1" applyBorder="1" applyAlignment="1">
      <alignment horizontal="left" vertical="center" wrapText="1"/>
    </xf>
    <xf numFmtId="49" fontId="58" fillId="4" borderId="2" xfId="0" applyNumberFormat="1" applyFont="1" applyFill="1" applyBorder="1" applyAlignment="1" applyProtection="1">
      <alignment horizontal="left" vertical="center" wrapText="1"/>
      <protection locked="0"/>
    </xf>
    <xf numFmtId="49" fontId="58" fillId="4" borderId="84" xfId="0" applyNumberFormat="1" applyFont="1" applyFill="1" applyBorder="1" applyAlignment="1" applyProtection="1">
      <alignment horizontal="left" vertical="center" wrapText="1"/>
      <protection locked="0"/>
    </xf>
    <xf numFmtId="49" fontId="58" fillId="4" borderId="3" xfId="0" applyNumberFormat="1" applyFont="1" applyFill="1" applyBorder="1" applyAlignment="1" applyProtection="1">
      <alignment horizontal="left" vertical="center" wrapText="1"/>
      <protection locked="0"/>
    </xf>
    <xf numFmtId="49" fontId="58" fillId="4" borderId="85" xfId="0" applyNumberFormat="1" applyFont="1" applyFill="1" applyBorder="1" applyAlignment="1" applyProtection="1">
      <alignment horizontal="left" vertical="center" wrapText="1"/>
      <protection locked="0"/>
    </xf>
    <xf numFmtId="49" fontId="58" fillId="4" borderId="4" xfId="0" applyNumberFormat="1" applyFont="1" applyFill="1" applyBorder="1" applyAlignment="1" applyProtection="1">
      <alignment horizontal="left" vertical="center" wrapText="1"/>
      <protection locked="0"/>
    </xf>
    <xf numFmtId="49" fontId="58" fillId="4" borderId="86" xfId="0" applyNumberFormat="1" applyFont="1" applyFill="1" applyBorder="1" applyAlignment="1" applyProtection="1">
      <alignment horizontal="left" vertical="center" wrapText="1"/>
      <protection locked="0"/>
    </xf>
  </cellXfs>
  <cellStyles count="5">
    <cellStyle name="Normal" xfId="0" builtinId="0"/>
    <cellStyle name="Normal - Style1 2" xfId="3"/>
    <cellStyle name="Normal 2" xfId="2"/>
    <cellStyle name="Normal 2 2" xfId="4"/>
    <cellStyle name="Porcentaje" xfId="1" builtinId="5"/>
  </cellStyles>
  <dxfs count="20">
    <dxf>
      <fill>
        <patternFill>
          <bgColor rgb="FFFF000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1050132</xdr:colOff>
      <xdr:row>0</xdr:row>
      <xdr:rowOff>66818</xdr:rowOff>
    </xdr:from>
    <xdr:to>
      <xdr:col>7</xdr:col>
      <xdr:colOff>726282</xdr:colOff>
      <xdr:row>11</xdr:row>
      <xdr:rowOff>47624</xdr:rowOff>
    </xdr:to>
    <xdr:pic>
      <xdr:nvPicPr>
        <xdr:cNvPr id="2" name="Imagen 1">
          <a:extLst>
            <a:ext uri="{FF2B5EF4-FFF2-40B4-BE49-F238E27FC236}">
              <a16:creationId xmlns:a16="http://schemas.microsoft.com/office/drawing/2014/main" xmlns="" id="{00000000-0008-0000-0600-000003000000}"/>
            </a:ext>
          </a:extLst>
        </xdr:cNvPr>
        <xdr:cNvPicPr>
          <a:picLocks noChangeAspect="1"/>
        </xdr:cNvPicPr>
      </xdr:nvPicPr>
      <xdr:blipFill>
        <a:blip xmlns:r="http://schemas.openxmlformats.org/officeDocument/2006/relationships" r:embed="rId1"/>
        <a:stretch>
          <a:fillRect/>
        </a:stretch>
      </xdr:blipFill>
      <xdr:spPr>
        <a:xfrm>
          <a:off x="7169945" y="66818"/>
          <a:ext cx="3676650" cy="233824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281667</xdr:colOff>
      <xdr:row>7</xdr:row>
      <xdr:rowOff>102768</xdr:rowOff>
    </xdr:from>
    <xdr:to>
      <xdr:col>6</xdr:col>
      <xdr:colOff>595313</xdr:colOff>
      <xdr:row>14</xdr:row>
      <xdr:rowOff>55289</xdr:rowOff>
    </xdr:to>
    <xdr:pic>
      <xdr:nvPicPr>
        <xdr:cNvPr id="4" name="Imagen 3">
          <a:extLst>
            <a:ext uri="{FF2B5EF4-FFF2-40B4-BE49-F238E27FC236}">
              <a16:creationId xmlns:a16="http://schemas.microsoft.com/office/drawing/2014/main" xmlns="" id="{00000000-0008-0000-0800-000003000000}"/>
            </a:ext>
          </a:extLst>
        </xdr:cNvPr>
        <xdr:cNvPicPr>
          <a:picLocks noChangeAspect="1"/>
        </xdr:cNvPicPr>
      </xdr:nvPicPr>
      <xdr:blipFill>
        <a:blip xmlns:r="http://schemas.openxmlformats.org/officeDocument/2006/relationships" r:embed="rId1"/>
        <a:stretch>
          <a:fillRect/>
        </a:stretch>
      </xdr:blipFill>
      <xdr:spPr>
        <a:xfrm>
          <a:off x="4567917" y="2037534"/>
          <a:ext cx="3959935" cy="234865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dell/Desktop/cesar/HISTORICOS/2020-04-22_Formato_informe_sci_parametrizado_fin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Definiciones"/>
      <sheetName val="Ambiente de Control"/>
      <sheetName val="Evaluación de riesgos"/>
      <sheetName val="Actividades de control"/>
      <sheetName val="Info y Comunicación"/>
      <sheetName val="Actividades de Monitoreo"/>
      <sheetName val="Analisis de Resultados"/>
      <sheetName val="Conclusiones"/>
      <sheetName val="Hoja1"/>
      <sheetName val="Hoja4"/>
      <sheetName val="Hoja2"/>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4"/>
  <sheetViews>
    <sheetView topLeftCell="A15" zoomScale="90" zoomScaleNormal="90" workbookViewId="0">
      <selection activeCell="B6" sqref="B6:H7"/>
    </sheetView>
  </sheetViews>
  <sheetFormatPr baseColWidth="10" defaultColWidth="0" defaultRowHeight="12.75" zeroHeight="1" x14ac:dyDescent="0.2"/>
  <cols>
    <col min="1" max="1" width="3.85546875" style="45" customWidth="1"/>
    <col min="2" max="2" width="15.28515625" style="45" customWidth="1"/>
    <col min="3" max="3" width="17.28515625" style="45" customWidth="1"/>
    <col min="4" max="4" width="28.5703125" style="45" customWidth="1"/>
    <col min="5" max="5" width="12.85546875" style="45" customWidth="1"/>
    <col min="6" max="6" width="47.140625" style="45" customWidth="1"/>
    <col min="7" max="7" width="21.42578125" style="45" customWidth="1"/>
    <col min="8" max="8" width="6.5703125" style="45" customWidth="1"/>
    <col min="9" max="9" width="2.5703125" style="45" customWidth="1"/>
    <col min="10" max="16384" width="11.42578125" style="45" hidden="1"/>
  </cols>
  <sheetData>
    <row r="1" spans="2:8" ht="13.5" thickBot="1" x14ac:dyDescent="0.25"/>
    <row r="2" spans="2:8" ht="73.5" customHeight="1" x14ac:dyDescent="0.2">
      <c r="B2" s="197" t="s">
        <v>0</v>
      </c>
      <c r="C2" s="198"/>
      <c r="D2" s="198"/>
      <c r="E2" s="198"/>
      <c r="F2" s="198"/>
      <c r="G2" s="198"/>
      <c r="H2" s="199"/>
    </row>
    <row r="3" spans="2:8" ht="65.25" customHeight="1" x14ac:dyDescent="0.2">
      <c r="B3" s="200" t="s">
        <v>1</v>
      </c>
      <c r="C3" s="201"/>
      <c r="D3" s="201"/>
      <c r="E3" s="201"/>
      <c r="F3" s="201"/>
      <c r="G3" s="201"/>
      <c r="H3" s="202"/>
    </row>
    <row r="4" spans="2:8" ht="82.5" customHeight="1" x14ac:dyDescent="0.2">
      <c r="B4" s="200"/>
      <c r="C4" s="201"/>
      <c r="D4" s="201"/>
      <c r="E4" s="201"/>
      <c r="F4" s="201"/>
      <c r="G4" s="201"/>
      <c r="H4" s="202"/>
    </row>
    <row r="5" spans="2:8" ht="21.75" customHeight="1" x14ac:dyDescent="0.2">
      <c r="B5" s="203" t="s">
        <v>2</v>
      </c>
      <c r="C5" s="204"/>
      <c r="D5" s="204"/>
      <c r="E5" s="204"/>
      <c r="F5" s="204"/>
      <c r="G5" s="204"/>
      <c r="H5" s="205"/>
    </row>
    <row r="6" spans="2:8" ht="42" customHeight="1" x14ac:dyDescent="0.2">
      <c r="B6" s="206" t="s">
        <v>3</v>
      </c>
      <c r="C6" s="207"/>
      <c r="D6" s="207"/>
      <c r="E6" s="207"/>
      <c r="F6" s="207"/>
      <c r="G6" s="207"/>
      <c r="H6" s="208"/>
    </row>
    <row r="7" spans="2:8" ht="14.25" customHeight="1" x14ac:dyDescent="0.2">
      <c r="B7" s="206"/>
      <c r="C7" s="207"/>
      <c r="D7" s="207"/>
      <c r="E7" s="207"/>
      <c r="F7" s="207"/>
      <c r="G7" s="207"/>
      <c r="H7" s="208"/>
    </row>
    <row r="8" spans="2:8" ht="12.75" customHeight="1" thickBot="1" x14ac:dyDescent="0.25">
      <c r="B8" s="57"/>
      <c r="C8" s="51"/>
      <c r="D8" s="67"/>
      <c r="E8" s="68"/>
      <c r="F8" s="68"/>
      <c r="G8" s="65"/>
      <c r="H8" s="66"/>
    </row>
    <row r="9" spans="2:8" ht="21" customHeight="1" thickTop="1" x14ac:dyDescent="0.2">
      <c r="B9" s="57"/>
      <c r="C9" s="209" t="s">
        <v>4</v>
      </c>
      <c r="D9" s="210"/>
      <c r="E9" s="211" t="s">
        <v>5</v>
      </c>
      <c r="F9" s="212"/>
      <c r="G9" s="51"/>
      <c r="H9" s="59"/>
    </row>
    <row r="10" spans="2:8" ht="37.5" customHeight="1" x14ac:dyDescent="0.2">
      <c r="B10" s="57"/>
      <c r="C10" s="189" t="s">
        <v>6</v>
      </c>
      <c r="D10" s="190"/>
      <c r="E10" s="191" t="s">
        <v>7</v>
      </c>
      <c r="F10" s="192"/>
      <c r="G10" s="51"/>
      <c r="H10" s="59"/>
    </row>
    <row r="11" spans="2:8" ht="39.75" customHeight="1" x14ac:dyDescent="0.2">
      <c r="B11" s="57"/>
      <c r="C11" s="193" t="s">
        <v>8</v>
      </c>
      <c r="D11" s="194"/>
      <c r="E11" s="170" t="s">
        <v>9</v>
      </c>
      <c r="F11" s="171"/>
      <c r="G11" s="51"/>
      <c r="H11" s="59"/>
    </row>
    <row r="12" spans="2:8" ht="59.25" customHeight="1" x14ac:dyDescent="0.2">
      <c r="B12" s="57"/>
      <c r="C12" s="193" t="s">
        <v>10</v>
      </c>
      <c r="D12" s="194"/>
      <c r="E12" s="195" t="s">
        <v>11</v>
      </c>
      <c r="F12" s="196"/>
      <c r="G12" s="51"/>
      <c r="H12" s="59"/>
    </row>
    <row r="13" spans="2:8" ht="33.75" customHeight="1" x14ac:dyDescent="0.2">
      <c r="B13" s="57"/>
      <c r="C13" s="168" t="s">
        <v>12</v>
      </c>
      <c r="D13" s="169"/>
      <c r="E13" s="170" t="s">
        <v>13</v>
      </c>
      <c r="F13" s="171"/>
      <c r="G13" s="51"/>
      <c r="H13" s="59"/>
    </row>
    <row r="14" spans="2:8" ht="19.5" customHeight="1" x14ac:dyDescent="0.2">
      <c r="B14" s="57"/>
      <c r="C14" s="63"/>
      <c r="D14" s="63"/>
      <c r="E14" s="64"/>
      <c r="F14" s="64"/>
      <c r="G14" s="51"/>
      <c r="H14" s="59"/>
    </row>
    <row r="15" spans="2:8" ht="37.5" customHeight="1" thickBot="1" x14ac:dyDescent="0.25">
      <c r="B15" s="164" t="s">
        <v>14</v>
      </c>
      <c r="C15" s="165"/>
      <c r="D15" s="165"/>
      <c r="E15" s="165"/>
      <c r="F15" s="165"/>
      <c r="G15" s="165"/>
      <c r="H15" s="166"/>
    </row>
    <row r="16" spans="2:8" ht="27.75" customHeight="1" thickBot="1" x14ac:dyDescent="0.25">
      <c r="B16" s="57"/>
      <c r="C16" s="172" t="s">
        <v>15</v>
      </c>
      <c r="D16" s="173"/>
      <c r="E16" s="173" t="s">
        <v>16</v>
      </c>
      <c r="F16" s="184"/>
      <c r="G16" s="51"/>
      <c r="H16" s="59"/>
    </row>
    <row r="17" spans="2:8" ht="27.75" customHeight="1" x14ac:dyDescent="0.2">
      <c r="B17" s="57"/>
      <c r="C17" s="185" t="s">
        <v>17</v>
      </c>
      <c r="D17" s="186"/>
      <c r="E17" s="187" t="s">
        <v>18</v>
      </c>
      <c r="F17" s="188"/>
      <c r="G17" s="101"/>
      <c r="H17" s="59"/>
    </row>
    <row r="18" spans="2:8" ht="41.25" customHeight="1" x14ac:dyDescent="0.2">
      <c r="B18" s="57"/>
      <c r="C18" s="174" t="s">
        <v>19</v>
      </c>
      <c r="D18" s="175"/>
      <c r="E18" s="176" t="s">
        <v>20</v>
      </c>
      <c r="F18" s="177"/>
      <c r="G18" s="102"/>
      <c r="H18" s="59"/>
    </row>
    <row r="19" spans="2:8" ht="37.5" customHeight="1" thickBot="1" x14ac:dyDescent="0.25">
      <c r="B19" s="57"/>
      <c r="C19" s="178" t="s">
        <v>21</v>
      </c>
      <c r="D19" s="179"/>
      <c r="E19" s="180" t="s">
        <v>22</v>
      </c>
      <c r="F19" s="181"/>
      <c r="G19" s="102"/>
      <c r="H19" s="59"/>
    </row>
    <row r="20" spans="2:8" ht="11.25" customHeight="1" x14ac:dyDescent="0.2">
      <c r="B20" s="52"/>
      <c r="C20" s="53"/>
      <c r="D20" s="53"/>
      <c r="E20" s="53"/>
      <c r="F20" s="53"/>
      <c r="G20" s="53"/>
      <c r="H20" s="54"/>
    </row>
    <row r="21" spans="2:8" ht="14.25" customHeight="1" x14ac:dyDescent="0.2">
      <c r="B21" s="55"/>
      <c r="C21" s="182"/>
      <c r="D21" s="182"/>
      <c r="E21" s="183"/>
      <c r="F21" s="183"/>
      <c r="G21" s="183"/>
      <c r="H21" s="56"/>
    </row>
    <row r="22" spans="2:8" ht="36" customHeight="1" x14ac:dyDescent="0.2">
      <c r="B22" s="164" t="s">
        <v>23</v>
      </c>
      <c r="C22" s="165"/>
      <c r="D22" s="165"/>
      <c r="E22" s="165"/>
      <c r="F22" s="165"/>
      <c r="G22" s="165"/>
      <c r="H22" s="166"/>
    </row>
    <row r="23" spans="2:8" ht="13.5" x14ac:dyDescent="0.2">
      <c r="B23" s="57"/>
      <c r="C23" s="58"/>
      <c r="D23" s="58"/>
      <c r="E23" s="167"/>
      <c r="F23" s="167"/>
      <c r="G23" s="51"/>
      <c r="H23" s="59"/>
    </row>
    <row r="24" spans="2:8" ht="13.5" thickBot="1" x14ac:dyDescent="0.25">
      <c r="B24" s="60"/>
      <c r="C24" s="61"/>
      <c r="D24" s="61"/>
      <c r="E24" s="61"/>
      <c r="F24" s="61"/>
      <c r="G24" s="61"/>
      <c r="H24" s="62"/>
    </row>
    <row r="25" spans="2:8" x14ac:dyDescent="0.2"/>
    <row r="26" spans="2:8" ht="29.25" customHeight="1" x14ac:dyDescent="0.2"/>
    <row r="27" spans="2:8" ht="26.25" customHeight="1" x14ac:dyDescent="0.2"/>
    <row r="28" spans="2:8" ht="43.5" customHeight="1" x14ac:dyDescent="0.2"/>
    <row r="29" spans="2:8" ht="53.25" customHeight="1" x14ac:dyDescent="0.2"/>
    <row r="30" spans="2:8" x14ac:dyDescent="0.2"/>
    <row r="31" spans="2:8" x14ac:dyDescent="0.2"/>
    <row r="32" spans="2:8" x14ac:dyDescent="0.2"/>
    <row r="33" x14ac:dyDescent="0.2"/>
    <row r="34" x14ac:dyDescent="0.2"/>
    <row r="35" x14ac:dyDescent="0.2"/>
    <row r="36" ht="12.75" customHeight="1" x14ac:dyDescent="0.2"/>
    <row r="37" ht="12.75" customHeight="1" x14ac:dyDescent="0.2"/>
    <row r="38" ht="12.75" customHeight="1" x14ac:dyDescent="0.2"/>
    <row r="39" ht="12.75" customHeight="1" x14ac:dyDescent="0.2"/>
    <row r="40" ht="12.75" customHeight="1" x14ac:dyDescent="0.2"/>
    <row r="41" ht="12.75" customHeight="1" x14ac:dyDescent="0.2"/>
    <row r="42" ht="12.75" customHeight="1" x14ac:dyDescent="0.2"/>
    <row r="43" ht="12.75" customHeight="1" x14ac:dyDescent="0.2"/>
    <row r="44" ht="12.75" customHeight="1" x14ac:dyDescent="0.2"/>
    <row r="45" ht="12.75" customHeight="1" x14ac:dyDescent="0.2"/>
    <row r="46" ht="12.75" customHeight="1" x14ac:dyDescent="0.2"/>
    <row r="47" ht="12.75" customHeight="1" x14ac:dyDescent="0.2"/>
    <row r="48" x14ac:dyDescent="0.2"/>
    <row r="52" x14ac:dyDescent="0.2"/>
    <row r="54" x14ac:dyDescent="0.2"/>
  </sheetData>
  <sheetProtection algorithmName="SHA-512" hashValue="t7sIeOvFa2bhukBsHVcHmO5gG9cifT20ZR8W/o5PL1FLs7w8K+KkEm6wLVbMVfYFM8W9luBRuNKu+qdhAWPM7w==" saltValue="H/shNuEdnFDauevCofk8Sw==" spinCount="100000" sheet="1" objects="1" scenarios="1"/>
  <mergeCells count="27">
    <mergeCell ref="B2:H2"/>
    <mergeCell ref="B3:H4"/>
    <mergeCell ref="B5:H5"/>
    <mergeCell ref="B6:H7"/>
    <mergeCell ref="C9:D9"/>
    <mergeCell ref="E9:F9"/>
    <mergeCell ref="C10:D10"/>
    <mergeCell ref="E10:F10"/>
    <mergeCell ref="C11:D11"/>
    <mergeCell ref="E11:F11"/>
    <mergeCell ref="C12:D12"/>
    <mergeCell ref="E12:F12"/>
    <mergeCell ref="B22:H22"/>
    <mergeCell ref="E23:F23"/>
    <mergeCell ref="C13:D13"/>
    <mergeCell ref="E13:F13"/>
    <mergeCell ref="C16:D16"/>
    <mergeCell ref="C18:D18"/>
    <mergeCell ref="E18:F18"/>
    <mergeCell ref="C19:D19"/>
    <mergeCell ref="E19:F19"/>
    <mergeCell ref="C21:D21"/>
    <mergeCell ref="E21:G21"/>
    <mergeCell ref="B15:H15"/>
    <mergeCell ref="E16:F16"/>
    <mergeCell ref="C17:D17"/>
    <mergeCell ref="E17:F17"/>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59"/>
  <sheetViews>
    <sheetView showGridLines="0" topLeftCell="C1" zoomScale="86" zoomScaleNormal="86" workbookViewId="0">
      <selection activeCell="G58" sqref="G58"/>
    </sheetView>
  </sheetViews>
  <sheetFormatPr baseColWidth="10" defaultColWidth="11.42578125" defaultRowHeight="16.5" x14ac:dyDescent="0.3"/>
  <cols>
    <col min="1" max="1" width="3" style="47" hidden="1" customWidth="1"/>
    <col min="2" max="2" width="9.42578125" style="47" customWidth="1"/>
    <col min="3" max="3" width="25.5703125" style="47" customWidth="1"/>
    <col min="4" max="4" width="46.5703125" style="47" customWidth="1"/>
    <col min="5" max="5" width="10.140625" style="70" customWidth="1"/>
    <col min="6" max="6" width="44.5703125" style="70" customWidth="1"/>
    <col min="7" max="7" width="15.42578125" style="47" customWidth="1"/>
    <col min="8" max="9" width="43" style="47" customWidth="1"/>
    <col min="10" max="12" width="11.42578125" style="75" customWidth="1"/>
    <col min="13" max="24" width="11.42578125" style="47" customWidth="1"/>
    <col min="25" max="16384" width="11.42578125" style="47"/>
  </cols>
  <sheetData>
    <row r="1" spans="1:32" x14ac:dyDescent="0.3">
      <c r="B1" s="46"/>
      <c r="C1" s="46"/>
      <c r="D1" s="46"/>
      <c r="E1" s="69"/>
      <c r="F1" s="69"/>
      <c r="G1" s="46"/>
      <c r="H1" s="46"/>
      <c r="I1" s="46"/>
      <c r="J1" s="71"/>
      <c r="K1" s="71"/>
      <c r="L1" s="72"/>
      <c r="M1" s="46"/>
      <c r="N1" s="46"/>
      <c r="O1" s="46"/>
      <c r="P1" s="46"/>
      <c r="Q1" s="46"/>
      <c r="R1" s="46"/>
      <c r="S1" s="46"/>
      <c r="T1" s="46"/>
      <c r="U1" s="46"/>
      <c r="V1" s="46"/>
      <c r="W1" s="46"/>
      <c r="X1" s="46"/>
    </row>
    <row r="2" spans="1:32" x14ac:dyDescent="0.3">
      <c r="B2" s="46"/>
      <c r="C2" s="46"/>
      <c r="D2" s="46"/>
      <c r="E2" s="69"/>
      <c r="F2" s="69"/>
      <c r="G2" s="46"/>
      <c r="H2" s="46"/>
      <c r="I2" s="46"/>
      <c r="J2" s="71"/>
      <c r="K2" s="71"/>
      <c r="L2" s="72"/>
      <c r="M2" s="46"/>
      <c r="N2" s="46"/>
      <c r="O2" s="46"/>
      <c r="P2" s="46"/>
      <c r="Q2" s="46"/>
      <c r="R2" s="46"/>
      <c r="S2" s="46"/>
      <c r="T2" s="46"/>
      <c r="U2" s="46"/>
      <c r="V2" s="46"/>
      <c r="W2" s="46"/>
      <c r="X2" s="46"/>
    </row>
    <row r="3" spans="1:32" x14ac:dyDescent="0.3">
      <c r="B3" s="46"/>
      <c r="C3" s="46"/>
      <c r="D3" s="46"/>
      <c r="E3" s="69"/>
      <c r="F3" s="69"/>
      <c r="G3" s="46"/>
      <c r="H3" s="46"/>
      <c r="I3" s="46"/>
      <c r="J3" s="71"/>
      <c r="K3" s="71"/>
      <c r="L3" s="72"/>
      <c r="M3" s="46"/>
      <c r="N3" s="46"/>
      <c r="O3" s="46"/>
      <c r="P3" s="46"/>
      <c r="Q3" s="46"/>
      <c r="R3" s="46"/>
      <c r="S3" s="46"/>
      <c r="T3" s="46"/>
      <c r="U3" s="46"/>
      <c r="V3" s="46"/>
      <c r="W3" s="46"/>
      <c r="X3" s="46"/>
    </row>
    <row r="4" spans="1:32" x14ac:dyDescent="0.3">
      <c r="B4" s="46"/>
      <c r="C4" s="46"/>
      <c r="D4" s="46"/>
      <c r="E4" s="69"/>
      <c r="F4" s="69"/>
      <c r="G4" s="46"/>
      <c r="H4" s="46"/>
      <c r="I4" s="46"/>
      <c r="J4" s="71"/>
      <c r="K4" s="71"/>
      <c r="L4" s="72"/>
      <c r="M4" s="46"/>
      <c r="N4" s="46"/>
      <c r="O4" s="46"/>
      <c r="P4" s="46"/>
      <c r="Q4" s="46"/>
      <c r="R4" s="46"/>
      <c r="S4" s="46"/>
      <c r="T4" s="46"/>
      <c r="U4" s="46"/>
      <c r="V4" s="46"/>
      <c r="W4" s="46"/>
      <c r="X4" s="46"/>
    </row>
    <row r="5" spans="1:32" x14ac:dyDescent="0.3">
      <c r="B5" s="46"/>
      <c r="C5" s="46"/>
      <c r="D5" s="46"/>
      <c r="E5" s="69"/>
      <c r="F5" s="69"/>
      <c r="G5" s="46"/>
      <c r="H5" s="46"/>
      <c r="I5" s="46"/>
      <c r="J5" s="71"/>
      <c r="K5" s="71"/>
      <c r="L5" s="72"/>
      <c r="M5" s="46"/>
      <c r="N5" s="46"/>
      <c r="O5" s="46"/>
      <c r="P5" s="46"/>
      <c r="Q5" s="46"/>
      <c r="R5" s="46"/>
      <c r="S5" s="46"/>
      <c r="T5" s="46"/>
      <c r="U5" s="46"/>
      <c r="V5" s="46"/>
      <c r="W5" s="46"/>
      <c r="X5" s="46"/>
    </row>
    <row r="6" spans="1:32" x14ac:dyDescent="0.3">
      <c r="B6" s="46"/>
      <c r="C6" s="46"/>
      <c r="D6" s="46"/>
      <c r="E6" s="69"/>
      <c r="F6" s="69"/>
      <c r="G6" s="46"/>
      <c r="H6" s="46"/>
      <c r="I6" s="46"/>
      <c r="J6" s="71"/>
      <c r="K6" s="71"/>
      <c r="L6" s="72"/>
      <c r="M6" s="46"/>
      <c r="N6" s="46"/>
      <c r="O6" s="46"/>
      <c r="P6" s="46"/>
      <c r="Q6" s="46"/>
      <c r="R6" s="46"/>
      <c r="S6" s="46"/>
      <c r="T6" s="46"/>
      <c r="U6" s="46"/>
      <c r="V6" s="46"/>
      <c r="W6" s="46"/>
      <c r="X6" s="46"/>
    </row>
    <row r="7" spans="1:32" x14ac:dyDescent="0.3">
      <c r="B7" s="46"/>
      <c r="C7" s="46"/>
      <c r="D7" s="46"/>
      <c r="E7" s="69"/>
      <c r="F7" s="69"/>
      <c r="G7" s="46"/>
      <c r="H7" s="46"/>
      <c r="I7" s="46"/>
      <c r="J7" s="71"/>
      <c r="K7" s="71"/>
      <c r="L7" s="72"/>
      <c r="M7" s="46"/>
      <c r="N7" s="46"/>
      <c r="O7" s="46"/>
      <c r="P7" s="46"/>
      <c r="Q7" s="46"/>
      <c r="R7" s="46"/>
      <c r="S7" s="46"/>
      <c r="T7" s="46"/>
      <c r="U7" s="46"/>
      <c r="V7" s="46"/>
      <c r="W7" s="46"/>
      <c r="X7" s="46"/>
    </row>
    <row r="8" spans="1:32" x14ac:dyDescent="0.3">
      <c r="B8" s="46"/>
      <c r="C8" s="46"/>
      <c r="D8" s="46"/>
      <c r="E8" s="69"/>
      <c r="F8" s="69"/>
      <c r="G8" s="46"/>
      <c r="H8" s="46"/>
      <c r="I8" s="46"/>
      <c r="J8" s="71"/>
      <c r="K8" s="71"/>
      <c r="L8" s="72"/>
      <c r="M8" s="46"/>
      <c r="N8" s="46"/>
      <c r="O8" s="46"/>
      <c r="P8" s="46"/>
      <c r="Q8" s="46"/>
      <c r="R8" s="46"/>
      <c r="S8" s="46"/>
      <c r="T8" s="46"/>
      <c r="U8" s="46"/>
      <c r="V8" s="46"/>
      <c r="W8" s="46"/>
      <c r="X8" s="46"/>
    </row>
    <row r="9" spans="1:32" x14ac:dyDescent="0.3">
      <c r="B9" s="46"/>
      <c r="C9" s="46"/>
      <c r="D9" s="46"/>
      <c r="E9" s="69"/>
      <c r="F9" s="69"/>
      <c r="G9" s="46"/>
      <c r="H9" s="46"/>
      <c r="I9" s="46"/>
      <c r="J9" s="71"/>
      <c r="K9" s="71"/>
      <c r="L9" s="72"/>
      <c r="M9" s="46"/>
      <c r="N9" s="46"/>
      <c r="O9" s="46"/>
      <c r="P9" s="46"/>
      <c r="Q9" s="46"/>
      <c r="R9" s="46"/>
      <c r="S9" s="46"/>
      <c r="T9" s="46"/>
      <c r="U9" s="46"/>
      <c r="V9" s="46"/>
      <c r="W9" s="46"/>
      <c r="X9" s="46"/>
    </row>
    <row r="10" spans="1:32" x14ac:dyDescent="0.3">
      <c r="B10" s="46"/>
      <c r="C10" s="46"/>
      <c r="D10" s="46"/>
      <c r="E10" s="69"/>
      <c r="F10" s="69"/>
      <c r="G10" s="46"/>
      <c r="H10" s="46"/>
      <c r="I10" s="46"/>
      <c r="J10" s="71"/>
      <c r="K10" s="71"/>
      <c r="L10" s="72"/>
      <c r="M10" s="46"/>
      <c r="N10" s="46"/>
      <c r="O10" s="46"/>
      <c r="P10" s="46"/>
      <c r="Q10" s="46"/>
      <c r="R10" s="46"/>
      <c r="S10" s="46"/>
      <c r="T10" s="46"/>
      <c r="U10" s="46"/>
      <c r="V10" s="46"/>
      <c r="W10" s="46"/>
      <c r="X10" s="46"/>
    </row>
    <row r="11" spans="1:32" x14ac:dyDescent="0.3">
      <c r="B11" s="46"/>
      <c r="C11" s="46"/>
      <c r="D11" s="46"/>
      <c r="E11" s="69"/>
      <c r="F11" s="69"/>
      <c r="G11" s="46"/>
      <c r="H11" s="46"/>
      <c r="I11" s="46"/>
      <c r="J11" s="71"/>
      <c r="K11" s="71"/>
      <c r="L11" s="72"/>
      <c r="M11" s="46"/>
      <c r="N11" s="46"/>
      <c r="O11" s="46"/>
      <c r="P11" s="46"/>
      <c r="Q11" s="46"/>
      <c r="R11" s="46"/>
      <c r="S11" s="46"/>
      <c r="T11" s="46"/>
      <c r="U11" s="46"/>
      <c r="V11" s="46"/>
      <c r="W11" s="46"/>
      <c r="X11" s="46"/>
    </row>
    <row r="12" spans="1:32" x14ac:dyDescent="0.3">
      <c r="B12" s="46"/>
      <c r="C12" s="46"/>
      <c r="D12" s="46"/>
      <c r="E12" s="69"/>
      <c r="F12" s="69"/>
      <c r="G12" s="46"/>
      <c r="H12" s="46"/>
      <c r="I12" s="46"/>
      <c r="J12" s="71"/>
      <c r="K12" s="71"/>
      <c r="L12" s="72"/>
      <c r="M12" s="46"/>
      <c r="N12" s="46"/>
      <c r="O12" s="46"/>
      <c r="P12" s="46"/>
      <c r="Q12" s="46"/>
      <c r="R12" s="46"/>
      <c r="S12" s="46"/>
      <c r="T12" s="46"/>
      <c r="U12" s="46"/>
      <c r="V12" s="46"/>
      <c r="W12" s="46"/>
      <c r="X12" s="46"/>
    </row>
    <row r="13" spans="1:32" x14ac:dyDescent="0.3">
      <c r="B13" s="46"/>
      <c r="C13" s="46"/>
      <c r="D13" s="46"/>
      <c r="E13" s="69"/>
      <c r="F13" s="69"/>
      <c r="G13" s="46"/>
      <c r="H13" s="46"/>
      <c r="I13" s="46"/>
      <c r="J13" s="71"/>
      <c r="K13" s="71"/>
      <c r="L13" s="72"/>
      <c r="M13" s="46"/>
      <c r="N13" s="46"/>
      <c r="O13" s="46"/>
      <c r="P13" s="46"/>
      <c r="Q13" s="46"/>
      <c r="R13" s="46"/>
      <c r="S13" s="46"/>
      <c r="T13" s="46"/>
      <c r="U13" s="46"/>
      <c r="V13" s="46"/>
      <c r="W13" s="46"/>
      <c r="X13" s="46"/>
    </row>
    <row r="14" spans="1:32" s="49" customFormat="1" ht="49.5" customHeight="1" x14ac:dyDescent="0.25">
      <c r="B14" s="213" t="s">
        <v>24</v>
      </c>
      <c r="C14" s="213"/>
      <c r="D14" s="213"/>
      <c r="E14" s="213"/>
      <c r="F14" s="213"/>
      <c r="G14" s="213"/>
      <c r="H14" s="213"/>
      <c r="I14" s="213"/>
      <c r="J14" s="73"/>
      <c r="K14" s="73"/>
      <c r="L14" s="74"/>
      <c r="M14" s="48"/>
      <c r="N14" s="48"/>
      <c r="O14" s="48"/>
      <c r="P14" s="48"/>
      <c r="Q14" s="48"/>
      <c r="R14" s="48"/>
      <c r="S14" s="48"/>
      <c r="T14" s="48"/>
      <c r="U14" s="48"/>
      <c r="V14" s="48"/>
      <c r="W14" s="48"/>
      <c r="X14" s="48"/>
      <c r="Y14" s="48"/>
      <c r="Z14" s="48"/>
      <c r="AA14" s="48"/>
      <c r="AB14" s="48"/>
      <c r="AC14" s="48"/>
      <c r="AD14" s="48"/>
      <c r="AE14" s="48"/>
      <c r="AF14" s="48"/>
    </row>
    <row r="15" spans="1:32" s="49" customFormat="1" ht="123.75" customHeight="1" thickBot="1" x14ac:dyDescent="0.3">
      <c r="B15" s="77" t="s">
        <v>25</v>
      </c>
      <c r="C15" s="77" t="s">
        <v>6</v>
      </c>
      <c r="D15" s="78" t="s">
        <v>8</v>
      </c>
      <c r="E15" s="79" t="s">
        <v>26</v>
      </c>
      <c r="F15" s="79" t="s">
        <v>27</v>
      </c>
      <c r="G15" s="79" t="s">
        <v>28</v>
      </c>
      <c r="H15" s="80" t="s">
        <v>29</v>
      </c>
      <c r="I15" s="79" t="s">
        <v>30</v>
      </c>
      <c r="J15" s="73"/>
      <c r="K15" s="73"/>
      <c r="L15" s="74"/>
      <c r="M15" s="48"/>
      <c r="N15" s="48"/>
      <c r="O15" s="48"/>
      <c r="P15" s="48"/>
      <c r="Q15" s="48"/>
      <c r="R15" s="48"/>
      <c r="S15" s="48"/>
      <c r="T15" s="48"/>
      <c r="U15" s="48"/>
      <c r="V15" s="48"/>
      <c r="W15" s="48"/>
      <c r="X15" s="48"/>
      <c r="Y15" s="48"/>
      <c r="Z15" s="48"/>
      <c r="AA15" s="48"/>
      <c r="AB15" s="48"/>
      <c r="AC15" s="48"/>
      <c r="AD15" s="48"/>
      <c r="AE15" s="48"/>
      <c r="AF15" s="48"/>
    </row>
    <row r="16" spans="1:32" s="49" customFormat="1" ht="71.25" customHeight="1" x14ac:dyDescent="0.25">
      <c r="A16" s="103" t="str">
        <f>1&amp;E16</f>
        <v>1a</v>
      </c>
      <c r="B16" s="229" t="s">
        <v>31</v>
      </c>
      <c r="C16" s="239" t="s">
        <v>32</v>
      </c>
      <c r="D16" s="226" t="s">
        <v>33</v>
      </c>
      <c r="E16" s="81" t="s">
        <v>34</v>
      </c>
      <c r="F16" s="82" t="s">
        <v>35</v>
      </c>
      <c r="G16" s="112" t="s">
        <v>39</v>
      </c>
      <c r="H16" s="113" t="s">
        <v>194</v>
      </c>
      <c r="I16" s="104" t="str">
        <f>+IF(G16="Si","Mantenimiento del control",IF(G16="En proceso","Oportunidad de mejora","Deficiencia de control"))</f>
        <v>Mantenimiento del control</v>
      </c>
      <c r="J16" s="105">
        <f t="shared" ref="J16:J27" si="0">+IF(G16="Si",20,IF(G16="En proceso",10,0))</f>
        <v>20</v>
      </c>
      <c r="K16" s="105">
        <v>0.123</v>
      </c>
      <c r="L16" s="105">
        <f>+J16+K16</f>
        <v>20.123000000000001</v>
      </c>
    </row>
    <row r="17" spans="1:32" s="49" customFormat="1" ht="66" x14ac:dyDescent="0.25">
      <c r="A17" s="103" t="str">
        <f t="shared" ref="A17:A27" si="1">1&amp;E17</f>
        <v>1b</v>
      </c>
      <c r="B17" s="230"/>
      <c r="C17" s="240"/>
      <c r="D17" s="227"/>
      <c r="E17" s="83" t="s">
        <v>37</v>
      </c>
      <c r="F17" s="84" t="s">
        <v>38</v>
      </c>
      <c r="G17" s="114" t="s">
        <v>39</v>
      </c>
      <c r="H17" s="115" t="s">
        <v>195</v>
      </c>
      <c r="I17" s="106" t="str">
        <f t="shared" ref="I17:I59" si="2">+IF(G17="Si","Mantenimiento del control",IF(G17="En proceso","Oportunidad de mejora","Deficiencia de control"))</f>
        <v>Mantenimiento del control</v>
      </c>
      <c r="J17" s="107">
        <f t="shared" si="0"/>
        <v>20</v>
      </c>
      <c r="K17" s="105">
        <v>0.1234</v>
      </c>
      <c r="L17" s="105">
        <f t="shared" ref="L17:L59" si="3">+J17+K17</f>
        <v>20.1234</v>
      </c>
    </row>
    <row r="18" spans="1:32" s="49" customFormat="1" ht="64.5" customHeight="1" x14ac:dyDescent="0.25">
      <c r="A18" s="103" t="str">
        <f t="shared" si="1"/>
        <v>1c</v>
      </c>
      <c r="B18" s="230"/>
      <c r="C18" s="240"/>
      <c r="D18" s="227"/>
      <c r="E18" s="83" t="s">
        <v>40</v>
      </c>
      <c r="F18" s="85" t="s">
        <v>41</v>
      </c>
      <c r="G18" s="116" t="s">
        <v>39</v>
      </c>
      <c r="H18" s="117" t="s">
        <v>197</v>
      </c>
      <c r="I18" s="108" t="str">
        <f t="shared" si="2"/>
        <v>Mantenimiento del control</v>
      </c>
      <c r="J18" s="107">
        <f t="shared" si="0"/>
        <v>20</v>
      </c>
      <c r="K18" s="105">
        <v>0.12345</v>
      </c>
      <c r="L18" s="105">
        <f t="shared" si="3"/>
        <v>20.123449999999998</v>
      </c>
    </row>
    <row r="19" spans="1:32" s="49" customFormat="1" ht="37.5" customHeight="1" x14ac:dyDescent="0.25">
      <c r="A19" s="103" t="str">
        <f t="shared" si="1"/>
        <v>1d</v>
      </c>
      <c r="B19" s="230"/>
      <c r="C19" s="240"/>
      <c r="D19" s="227"/>
      <c r="E19" s="83" t="s">
        <v>42</v>
      </c>
      <c r="F19" s="85" t="s">
        <v>43</v>
      </c>
      <c r="G19" s="116" t="s">
        <v>39</v>
      </c>
      <c r="H19" s="117" t="s">
        <v>196</v>
      </c>
      <c r="I19" s="108" t="str">
        <f t="shared" si="2"/>
        <v>Mantenimiento del control</v>
      </c>
      <c r="J19" s="107">
        <f t="shared" si="0"/>
        <v>20</v>
      </c>
      <c r="K19" s="105">
        <v>0.123456</v>
      </c>
      <c r="L19" s="105">
        <f t="shared" si="3"/>
        <v>20.123456000000001</v>
      </c>
    </row>
    <row r="20" spans="1:32" s="49" customFormat="1" ht="52.5" customHeight="1" x14ac:dyDescent="0.25">
      <c r="A20" s="103" t="str">
        <f t="shared" si="1"/>
        <v>1e</v>
      </c>
      <c r="B20" s="230"/>
      <c r="C20" s="240"/>
      <c r="D20" s="227"/>
      <c r="E20" s="83" t="s">
        <v>44</v>
      </c>
      <c r="F20" s="85" t="s">
        <v>45</v>
      </c>
      <c r="G20" s="116" t="s">
        <v>39</v>
      </c>
      <c r="H20" s="117" t="s">
        <v>191</v>
      </c>
      <c r="I20" s="108" t="str">
        <f t="shared" si="2"/>
        <v>Mantenimiento del control</v>
      </c>
      <c r="J20" s="107">
        <f t="shared" si="0"/>
        <v>20</v>
      </c>
      <c r="K20" s="105">
        <v>0.12345678</v>
      </c>
      <c r="L20" s="105">
        <f t="shared" si="3"/>
        <v>20.123456780000001</v>
      </c>
    </row>
    <row r="21" spans="1:32" s="49" customFormat="1" ht="63.75" customHeight="1" x14ac:dyDescent="0.25">
      <c r="A21" s="103" t="str">
        <f t="shared" si="1"/>
        <v>1f</v>
      </c>
      <c r="B21" s="230"/>
      <c r="C21" s="240"/>
      <c r="D21" s="227"/>
      <c r="E21" s="83" t="s">
        <v>46</v>
      </c>
      <c r="F21" s="85" t="s">
        <v>47</v>
      </c>
      <c r="G21" s="116" t="s">
        <v>39</v>
      </c>
      <c r="H21" s="117" t="s">
        <v>201</v>
      </c>
      <c r="I21" s="108" t="str">
        <f t="shared" si="2"/>
        <v>Mantenimiento del control</v>
      </c>
      <c r="J21" s="107">
        <f t="shared" si="0"/>
        <v>20</v>
      </c>
      <c r="K21" s="105">
        <v>0.123456789</v>
      </c>
      <c r="L21" s="105">
        <f t="shared" si="3"/>
        <v>20.123456788999999</v>
      </c>
    </row>
    <row r="22" spans="1:32" s="49" customFormat="1" ht="65.25" customHeight="1" x14ac:dyDescent="0.25">
      <c r="A22" s="103" t="str">
        <f t="shared" si="1"/>
        <v>1g</v>
      </c>
      <c r="B22" s="230"/>
      <c r="C22" s="240"/>
      <c r="D22" s="227"/>
      <c r="E22" s="83" t="s">
        <v>48</v>
      </c>
      <c r="F22" s="85" t="s">
        <v>49</v>
      </c>
      <c r="G22" s="116" t="s">
        <v>39</v>
      </c>
      <c r="H22" s="117" t="s">
        <v>198</v>
      </c>
      <c r="I22" s="108" t="str">
        <f t="shared" si="2"/>
        <v>Mantenimiento del control</v>
      </c>
      <c r="J22" s="107">
        <f t="shared" si="0"/>
        <v>20</v>
      </c>
      <c r="K22" s="105">
        <v>0.12345678910000001</v>
      </c>
      <c r="L22" s="105">
        <f t="shared" si="3"/>
        <v>20.1234567891</v>
      </c>
    </row>
    <row r="23" spans="1:32" s="49" customFormat="1" ht="62.25" customHeight="1" x14ac:dyDescent="0.25">
      <c r="A23" s="103" t="str">
        <f t="shared" si="1"/>
        <v>1h</v>
      </c>
      <c r="B23" s="230"/>
      <c r="C23" s="240"/>
      <c r="D23" s="227"/>
      <c r="E23" s="83" t="s">
        <v>50</v>
      </c>
      <c r="F23" s="85" t="s">
        <v>51</v>
      </c>
      <c r="G23" s="116" t="s">
        <v>36</v>
      </c>
      <c r="H23" s="117"/>
      <c r="I23" s="108" t="str">
        <f t="shared" si="2"/>
        <v>Deficiencia de control</v>
      </c>
      <c r="J23" s="107">
        <f t="shared" si="0"/>
        <v>0</v>
      </c>
      <c r="K23" s="105">
        <v>0.12345678911999999</v>
      </c>
      <c r="L23" s="105">
        <f t="shared" si="3"/>
        <v>0.12345678911999999</v>
      </c>
    </row>
    <row r="24" spans="1:32" s="49" customFormat="1" ht="57.75" customHeight="1" x14ac:dyDescent="0.25">
      <c r="A24" s="103" t="str">
        <f t="shared" si="1"/>
        <v>1i</v>
      </c>
      <c r="B24" s="230"/>
      <c r="C24" s="240"/>
      <c r="D24" s="227"/>
      <c r="E24" s="83" t="s">
        <v>52</v>
      </c>
      <c r="F24" s="85" t="s">
        <v>53</v>
      </c>
      <c r="G24" s="116" t="s">
        <v>36</v>
      </c>
      <c r="H24" s="117"/>
      <c r="I24" s="108" t="str">
        <f t="shared" si="2"/>
        <v>Deficiencia de control</v>
      </c>
      <c r="J24" s="107">
        <f t="shared" si="0"/>
        <v>0</v>
      </c>
      <c r="K24" s="105">
        <v>0.123456789123</v>
      </c>
      <c r="L24" s="105">
        <f t="shared" si="3"/>
        <v>0.123456789123</v>
      </c>
    </row>
    <row r="25" spans="1:32" s="49" customFormat="1" ht="52.5" customHeight="1" x14ac:dyDescent="0.25">
      <c r="A25" s="103" t="str">
        <f t="shared" si="1"/>
        <v>1j</v>
      </c>
      <c r="B25" s="230"/>
      <c r="C25" s="240"/>
      <c r="D25" s="227"/>
      <c r="E25" s="83" t="s">
        <v>54</v>
      </c>
      <c r="F25" s="85" t="s">
        <v>55</v>
      </c>
      <c r="G25" s="116" t="s">
        <v>36</v>
      </c>
      <c r="H25" s="117"/>
      <c r="I25" s="108" t="str">
        <f t="shared" si="2"/>
        <v>Deficiencia de control</v>
      </c>
      <c r="J25" s="107">
        <f t="shared" si="0"/>
        <v>0</v>
      </c>
      <c r="K25" s="105">
        <v>0.1234567891234</v>
      </c>
      <c r="L25" s="105">
        <f t="shared" si="3"/>
        <v>0.1234567891234</v>
      </c>
    </row>
    <row r="26" spans="1:32" s="49" customFormat="1" ht="60.75" customHeight="1" x14ac:dyDescent="0.25">
      <c r="A26" s="103" t="str">
        <f t="shared" si="1"/>
        <v>1k</v>
      </c>
      <c r="B26" s="230"/>
      <c r="C26" s="240"/>
      <c r="D26" s="227"/>
      <c r="E26" s="83" t="s">
        <v>56</v>
      </c>
      <c r="F26" s="85" t="s">
        <v>57</v>
      </c>
      <c r="G26" s="116" t="s">
        <v>39</v>
      </c>
      <c r="H26" s="117" t="s">
        <v>202</v>
      </c>
      <c r="I26" s="108" t="str">
        <f t="shared" si="2"/>
        <v>Mantenimiento del control</v>
      </c>
      <c r="J26" s="107">
        <f t="shared" si="0"/>
        <v>20</v>
      </c>
      <c r="K26" s="105">
        <v>0.12345678912345</v>
      </c>
      <c r="L26" s="105">
        <f t="shared" si="3"/>
        <v>20.123456789123448</v>
      </c>
    </row>
    <row r="27" spans="1:32" s="49" customFormat="1" ht="50.25" thickBot="1" x14ac:dyDescent="0.3">
      <c r="A27" s="103" t="str">
        <f t="shared" si="1"/>
        <v>1l</v>
      </c>
      <c r="B27" s="231"/>
      <c r="C27" s="241"/>
      <c r="D27" s="228"/>
      <c r="E27" s="86" t="s">
        <v>58</v>
      </c>
      <c r="F27" s="87" t="s">
        <v>59</v>
      </c>
      <c r="G27" s="118" t="s">
        <v>39</v>
      </c>
      <c r="H27" s="119" t="s">
        <v>199</v>
      </c>
      <c r="I27" s="109" t="str">
        <f t="shared" si="2"/>
        <v>Mantenimiento del control</v>
      </c>
      <c r="J27" s="107">
        <f t="shared" si="0"/>
        <v>20</v>
      </c>
      <c r="K27" s="105">
        <v>0.12345678912345601</v>
      </c>
      <c r="L27" s="105">
        <f t="shared" si="3"/>
        <v>20.123456789123455</v>
      </c>
    </row>
    <row r="28" spans="1:32" s="49" customFormat="1" ht="44.25" customHeight="1" x14ac:dyDescent="0.25">
      <c r="A28" s="103" t="str">
        <f>2&amp;E28</f>
        <v>2a</v>
      </c>
      <c r="B28" s="232" t="s">
        <v>60</v>
      </c>
      <c r="C28" s="242" t="s">
        <v>61</v>
      </c>
      <c r="D28" s="235" t="s">
        <v>62</v>
      </c>
      <c r="E28" s="81" t="s">
        <v>34</v>
      </c>
      <c r="F28" s="82" t="s">
        <v>63</v>
      </c>
      <c r="G28" s="112" t="s">
        <v>36</v>
      </c>
      <c r="H28" s="113"/>
      <c r="I28" s="104" t="str">
        <f t="shared" si="2"/>
        <v>Deficiencia de control</v>
      </c>
      <c r="J28" s="105">
        <f>+IF(G28="Si",40,IF(G28="En proceso",30,20))</f>
        <v>20</v>
      </c>
      <c r="K28" s="105">
        <v>0.23</v>
      </c>
      <c r="L28" s="105">
        <f t="shared" si="3"/>
        <v>20.23</v>
      </c>
    </row>
    <row r="29" spans="1:32" s="49" customFormat="1" ht="63" x14ac:dyDescent="0.25">
      <c r="A29" s="103" t="str">
        <f t="shared" ref="A29:A31" si="4">2&amp;E29</f>
        <v>2b</v>
      </c>
      <c r="B29" s="233"/>
      <c r="C29" s="243"/>
      <c r="D29" s="236"/>
      <c r="E29" s="83" t="s">
        <v>37</v>
      </c>
      <c r="F29" s="85" t="s">
        <v>64</v>
      </c>
      <c r="G29" s="116" t="s">
        <v>39</v>
      </c>
      <c r="H29" s="117" t="s">
        <v>200</v>
      </c>
      <c r="I29" s="108" t="str">
        <f t="shared" si="2"/>
        <v>Mantenimiento del control</v>
      </c>
      <c r="J29" s="105">
        <f>+IF(G29="Si",40,IF(G29="En proceso",30,20))</f>
        <v>40</v>
      </c>
      <c r="K29" s="105">
        <v>0.23400000000000001</v>
      </c>
      <c r="L29" s="105">
        <f t="shared" si="3"/>
        <v>40.234000000000002</v>
      </c>
    </row>
    <row r="30" spans="1:32" s="49" customFormat="1" ht="49.5" x14ac:dyDescent="0.25">
      <c r="A30" s="103" t="str">
        <f t="shared" si="4"/>
        <v>2c</v>
      </c>
      <c r="B30" s="233"/>
      <c r="C30" s="243"/>
      <c r="D30" s="236"/>
      <c r="E30" s="83" t="s">
        <v>40</v>
      </c>
      <c r="F30" s="85" t="s">
        <v>65</v>
      </c>
      <c r="G30" s="116" t="s">
        <v>36</v>
      </c>
      <c r="H30" s="117" t="s">
        <v>207</v>
      </c>
      <c r="I30" s="108" t="str">
        <f t="shared" si="2"/>
        <v>Deficiencia de control</v>
      </c>
      <c r="J30" s="105">
        <f>+IF(G30="Si",40,IF(G30="En proceso",30,20))</f>
        <v>20</v>
      </c>
      <c r="K30" s="105">
        <v>0.23449999999999999</v>
      </c>
      <c r="L30" s="105">
        <f t="shared" si="3"/>
        <v>20.234500000000001</v>
      </c>
    </row>
    <row r="31" spans="1:32" s="49" customFormat="1" ht="63.75" thickBot="1" x14ac:dyDescent="0.3">
      <c r="A31" s="103" t="str">
        <f t="shared" si="4"/>
        <v>2d</v>
      </c>
      <c r="B31" s="234"/>
      <c r="C31" s="244"/>
      <c r="D31" s="237"/>
      <c r="E31" s="86" t="s">
        <v>42</v>
      </c>
      <c r="F31" s="87" t="s">
        <v>66</v>
      </c>
      <c r="G31" s="118" t="s">
        <v>36</v>
      </c>
      <c r="H31" s="119"/>
      <c r="I31" s="109" t="str">
        <f t="shared" si="2"/>
        <v>Deficiencia de control</v>
      </c>
      <c r="J31" s="105">
        <f>+IF(G31="Si",40,IF(G31="En proceso",30,20))</f>
        <v>20</v>
      </c>
      <c r="K31" s="105">
        <v>0.23455999999999999</v>
      </c>
      <c r="L31" s="105">
        <f t="shared" si="3"/>
        <v>20.234559999999998</v>
      </c>
    </row>
    <row r="32" spans="1:32" s="49" customFormat="1" ht="49.5" customHeight="1" x14ac:dyDescent="0.25">
      <c r="A32" s="103" t="str">
        <f>3&amp;E32</f>
        <v>3a</v>
      </c>
      <c r="B32" s="254" t="s">
        <v>67</v>
      </c>
      <c r="C32" s="254" t="s">
        <v>61</v>
      </c>
      <c r="D32" s="255" t="s">
        <v>68</v>
      </c>
      <c r="E32" s="88" t="s">
        <v>34</v>
      </c>
      <c r="F32" s="85" t="s">
        <v>69</v>
      </c>
      <c r="G32" s="116" t="s">
        <v>36</v>
      </c>
      <c r="H32" s="117"/>
      <c r="I32" s="108" t="str">
        <f t="shared" si="2"/>
        <v>Deficiencia de control</v>
      </c>
      <c r="J32" s="105">
        <f t="shared" ref="J32:J37" si="5">+IF(G32="Si",40,IF(G32="En proceso",30,20))</f>
        <v>20</v>
      </c>
      <c r="K32" s="110">
        <v>0.234567</v>
      </c>
      <c r="L32" s="105">
        <f t="shared" ref="L32:L37" si="6">+J32+K32</f>
        <v>20.234566999999998</v>
      </c>
      <c r="M32" s="48"/>
      <c r="N32" s="48"/>
      <c r="O32" s="48"/>
      <c r="P32" s="48"/>
      <c r="Q32" s="48"/>
      <c r="R32" s="48"/>
      <c r="S32" s="48"/>
      <c r="T32" s="48"/>
      <c r="U32" s="48"/>
      <c r="V32" s="48"/>
      <c r="W32" s="48"/>
      <c r="X32" s="48"/>
      <c r="Y32" s="48"/>
      <c r="Z32" s="48"/>
      <c r="AA32" s="48"/>
      <c r="AB32" s="48"/>
      <c r="AC32" s="48"/>
      <c r="AD32" s="48"/>
      <c r="AE32" s="48"/>
      <c r="AF32" s="48"/>
    </row>
    <row r="33" spans="1:32" s="49" customFormat="1" ht="49.5" customHeight="1" x14ac:dyDescent="0.25">
      <c r="A33" s="103" t="str">
        <f t="shared" ref="A33:A34" si="7">3&amp;E33</f>
        <v>3b</v>
      </c>
      <c r="B33" s="254"/>
      <c r="C33" s="254"/>
      <c r="D33" s="255"/>
      <c r="E33" s="88" t="s">
        <v>37</v>
      </c>
      <c r="F33" s="85" t="s">
        <v>70</v>
      </c>
      <c r="G33" s="116" t="s">
        <v>36</v>
      </c>
      <c r="H33" s="117"/>
      <c r="I33" s="108" t="str">
        <f t="shared" si="2"/>
        <v>Deficiencia de control</v>
      </c>
      <c r="J33" s="105">
        <f t="shared" si="5"/>
        <v>20</v>
      </c>
      <c r="K33" s="110">
        <v>0.23456779999999999</v>
      </c>
      <c r="L33" s="105">
        <f t="shared" si="6"/>
        <v>20.234567800000001</v>
      </c>
      <c r="M33" s="48"/>
      <c r="N33" s="48"/>
      <c r="O33" s="48"/>
      <c r="P33" s="48"/>
      <c r="Q33" s="48"/>
      <c r="R33" s="48"/>
      <c r="S33" s="48"/>
      <c r="T33" s="48"/>
      <c r="U33" s="48"/>
      <c r="V33" s="48"/>
      <c r="W33" s="48"/>
      <c r="X33" s="48"/>
      <c r="Y33" s="48"/>
      <c r="Z33" s="48"/>
      <c r="AA33" s="48"/>
      <c r="AB33" s="48"/>
      <c r="AC33" s="48"/>
      <c r="AD33" s="48"/>
      <c r="AE33" s="48"/>
      <c r="AF33" s="48"/>
    </row>
    <row r="34" spans="1:32" s="49" customFormat="1" ht="66" customHeight="1" thickBot="1" x14ac:dyDescent="0.3">
      <c r="A34" s="103" t="str">
        <f t="shared" si="7"/>
        <v>3c</v>
      </c>
      <c r="B34" s="254"/>
      <c r="C34" s="254"/>
      <c r="D34" s="255"/>
      <c r="E34" s="88" t="s">
        <v>40</v>
      </c>
      <c r="F34" s="85" t="s">
        <v>71</v>
      </c>
      <c r="G34" s="116" t="s">
        <v>36</v>
      </c>
      <c r="H34" s="117"/>
      <c r="I34" s="108" t="str">
        <f t="shared" si="2"/>
        <v>Deficiencia de control</v>
      </c>
      <c r="J34" s="105">
        <f t="shared" si="5"/>
        <v>20</v>
      </c>
      <c r="K34" s="110">
        <v>0.23456789</v>
      </c>
      <c r="L34" s="105">
        <f t="shared" si="6"/>
        <v>20.234567890000001</v>
      </c>
      <c r="M34" s="48"/>
      <c r="N34" s="48"/>
      <c r="O34" s="48"/>
      <c r="P34" s="48"/>
      <c r="Q34" s="48"/>
      <c r="R34" s="48"/>
      <c r="S34" s="48"/>
      <c r="T34" s="48"/>
      <c r="U34" s="48"/>
      <c r="V34" s="48"/>
      <c r="W34" s="48"/>
      <c r="X34" s="48"/>
      <c r="Y34" s="48"/>
      <c r="Z34" s="48"/>
      <c r="AA34" s="48"/>
      <c r="AB34" s="48"/>
      <c r="AC34" s="48"/>
      <c r="AD34" s="48"/>
      <c r="AE34" s="48"/>
      <c r="AF34" s="48"/>
    </row>
    <row r="35" spans="1:32" s="49" customFormat="1" ht="60.75" customHeight="1" x14ac:dyDescent="0.25">
      <c r="A35" s="103" t="str">
        <f>4&amp;E35</f>
        <v>4a</v>
      </c>
      <c r="B35" s="256" t="s">
        <v>72</v>
      </c>
      <c r="C35" s="243" t="s">
        <v>61</v>
      </c>
      <c r="D35" s="236" t="s">
        <v>73</v>
      </c>
      <c r="E35" s="81" t="s">
        <v>34</v>
      </c>
      <c r="F35" s="82" t="s">
        <v>74</v>
      </c>
      <c r="G35" s="112" t="s">
        <v>76</v>
      </c>
      <c r="H35" s="113"/>
      <c r="I35" s="104" t="str">
        <f t="shared" si="2"/>
        <v>Oportunidad de mejora</v>
      </c>
      <c r="J35" s="105">
        <f t="shared" si="5"/>
        <v>30</v>
      </c>
      <c r="K35" s="110">
        <v>0.23456789119999999</v>
      </c>
      <c r="L35" s="105">
        <f t="shared" si="6"/>
        <v>30.234567891200001</v>
      </c>
      <c r="M35" s="48"/>
      <c r="N35" s="48"/>
      <c r="O35" s="48"/>
      <c r="P35" s="48"/>
      <c r="Q35" s="48"/>
    </row>
    <row r="36" spans="1:32" s="49" customFormat="1" ht="57.75" customHeight="1" x14ac:dyDescent="0.25">
      <c r="A36" s="103" t="str">
        <f t="shared" ref="A36:A37" si="8">4&amp;E36</f>
        <v>4b</v>
      </c>
      <c r="B36" s="256"/>
      <c r="C36" s="243"/>
      <c r="D36" s="236"/>
      <c r="E36" s="83" t="s">
        <v>37</v>
      </c>
      <c r="F36" s="85" t="s">
        <v>75</v>
      </c>
      <c r="G36" s="116" t="s">
        <v>76</v>
      </c>
      <c r="H36" s="117"/>
      <c r="I36" s="108" t="str">
        <f t="shared" si="2"/>
        <v>Oportunidad de mejora</v>
      </c>
      <c r="J36" s="105">
        <f t="shared" si="5"/>
        <v>30</v>
      </c>
      <c r="K36" s="110">
        <v>0.23456789122999999</v>
      </c>
      <c r="L36" s="105">
        <f t="shared" si="6"/>
        <v>30.23456789123</v>
      </c>
      <c r="M36" s="48"/>
      <c r="N36" s="48"/>
      <c r="O36" s="48"/>
      <c r="P36" s="48"/>
      <c r="Q36" s="48"/>
    </row>
    <row r="37" spans="1:32" s="49" customFormat="1" ht="49.5" customHeight="1" thickBot="1" x14ac:dyDescent="0.3">
      <c r="A37" s="103" t="str">
        <f t="shared" si="8"/>
        <v>4c</v>
      </c>
      <c r="B37" s="256"/>
      <c r="C37" s="243"/>
      <c r="D37" s="236"/>
      <c r="E37" s="83" t="s">
        <v>40</v>
      </c>
      <c r="F37" s="85" t="s">
        <v>77</v>
      </c>
      <c r="G37" s="116" t="s">
        <v>36</v>
      </c>
      <c r="H37" s="117"/>
      <c r="I37" s="108" t="str">
        <f t="shared" si="2"/>
        <v>Deficiencia de control</v>
      </c>
      <c r="J37" s="105">
        <f t="shared" si="5"/>
        <v>20</v>
      </c>
      <c r="K37" s="110">
        <v>0.23456789123399999</v>
      </c>
      <c r="L37" s="105">
        <f t="shared" si="6"/>
        <v>20.234567891234001</v>
      </c>
      <c r="M37" s="48"/>
      <c r="N37" s="48"/>
      <c r="O37" s="48"/>
      <c r="P37" s="48"/>
      <c r="Q37" s="48"/>
    </row>
    <row r="38" spans="1:32" s="49" customFormat="1" ht="85.5" customHeight="1" x14ac:dyDescent="0.25">
      <c r="A38" s="103" t="str">
        <f>5&amp;E38</f>
        <v>5a</v>
      </c>
      <c r="B38" s="257" t="s">
        <v>78</v>
      </c>
      <c r="C38" s="245" t="s">
        <v>79</v>
      </c>
      <c r="D38" s="260" t="s">
        <v>80</v>
      </c>
      <c r="E38" s="81" t="s">
        <v>34</v>
      </c>
      <c r="F38" s="89" t="s">
        <v>81</v>
      </c>
      <c r="G38" s="120" t="s">
        <v>39</v>
      </c>
      <c r="H38" s="121" t="s">
        <v>203</v>
      </c>
      <c r="I38" s="111" t="str">
        <f t="shared" si="2"/>
        <v>Mantenimiento del control</v>
      </c>
      <c r="J38" s="105">
        <f>+IF(G38="Si",60,IF(G38="En proceso",50,40))</f>
        <v>60</v>
      </c>
      <c r="K38" s="105">
        <v>0.31</v>
      </c>
      <c r="L38" s="105">
        <f t="shared" si="3"/>
        <v>60.31</v>
      </c>
    </row>
    <row r="39" spans="1:32" s="49" customFormat="1" ht="63" x14ac:dyDescent="0.25">
      <c r="A39" s="103" t="str">
        <f t="shared" ref="A39:A42" si="9">5&amp;E39</f>
        <v>5b</v>
      </c>
      <c r="B39" s="258"/>
      <c r="C39" s="246"/>
      <c r="D39" s="261"/>
      <c r="E39" s="83" t="s">
        <v>37</v>
      </c>
      <c r="F39" s="85" t="s">
        <v>82</v>
      </c>
      <c r="G39" s="116" t="s">
        <v>39</v>
      </c>
      <c r="H39" s="117" t="s">
        <v>204</v>
      </c>
      <c r="I39" s="108" t="str">
        <f t="shared" si="2"/>
        <v>Mantenimiento del control</v>
      </c>
      <c r="J39" s="105">
        <f>+IF(G39="Si",60,IF(G39="En proceso",50,40))</f>
        <v>60</v>
      </c>
      <c r="K39" s="105">
        <v>0.32300000000000001</v>
      </c>
      <c r="L39" s="105">
        <f t="shared" si="3"/>
        <v>60.323</v>
      </c>
    </row>
    <row r="40" spans="1:32" s="49" customFormat="1" ht="47.25" x14ac:dyDescent="0.25">
      <c r="A40" s="103" t="str">
        <f t="shared" si="9"/>
        <v>5c</v>
      </c>
      <c r="B40" s="258"/>
      <c r="C40" s="246"/>
      <c r="D40" s="261"/>
      <c r="E40" s="83" t="s">
        <v>40</v>
      </c>
      <c r="F40" s="85" t="s">
        <v>83</v>
      </c>
      <c r="G40" s="116" t="s">
        <v>76</v>
      </c>
      <c r="H40" s="117"/>
      <c r="I40" s="108" t="str">
        <f t="shared" si="2"/>
        <v>Oportunidad de mejora</v>
      </c>
      <c r="J40" s="105">
        <f>+IF(G40="Si",60,IF(G40="En proceso",50,40))</f>
        <v>50</v>
      </c>
      <c r="K40" s="105">
        <v>0.32400000000000001</v>
      </c>
      <c r="L40" s="105">
        <f t="shared" si="3"/>
        <v>50.323999999999998</v>
      </c>
    </row>
    <row r="41" spans="1:32" s="49" customFormat="1" ht="94.5" x14ac:dyDescent="0.25">
      <c r="A41" s="103" t="str">
        <f t="shared" si="9"/>
        <v>5d</v>
      </c>
      <c r="B41" s="258"/>
      <c r="C41" s="246"/>
      <c r="D41" s="261"/>
      <c r="E41" s="83" t="s">
        <v>42</v>
      </c>
      <c r="F41" s="85" t="s">
        <v>84</v>
      </c>
      <c r="G41" s="116" t="s">
        <v>36</v>
      </c>
      <c r="H41" s="117"/>
      <c r="I41" s="108" t="str">
        <f t="shared" si="2"/>
        <v>Deficiencia de control</v>
      </c>
      <c r="J41" s="105">
        <f>+IF(G41="Si",60,IF(G41="En proceso",50,40))</f>
        <v>40</v>
      </c>
      <c r="K41" s="105">
        <v>0.32500000000000001</v>
      </c>
      <c r="L41" s="105">
        <f t="shared" si="3"/>
        <v>40.325000000000003</v>
      </c>
    </row>
    <row r="42" spans="1:32" s="49" customFormat="1" ht="48" thickBot="1" x14ac:dyDescent="0.3">
      <c r="A42" s="103" t="str">
        <f t="shared" si="9"/>
        <v>5e</v>
      </c>
      <c r="B42" s="259"/>
      <c r="C42" s="247"/>
      <c r="D42" s="262"/>
      <c r="E42" s="86" t="s">
        <v>44</v>
      </c>
      <c r="F42" s="87" t="s">
        <v>85</v>
      </c>
      <c r="G42" s="118" t="s">
        <v>39</v>
      </c>
      <c r="H42" s="119" t="s">
        <v>205</v>
      </c>
      <c r="I42" s="109" t="str">
        <f t="shared" si="2"/>
        <v>Mantenimiento del control</v>
      </c>
      <c r="J42" s="105">
        <f>+IF(G42="Si",60,IF(G42="En proceso",50,40))</f>
        <v>60</v>
      </c>
      <c r="K42" s="105">
        <v>0.32600000000000001</v>
      </c>
      <c r="L42" s="105">
        <f t="shared" si="3"/>
        <v>60.326000000000001</v>
      </c>
    </row>
    <row r="43" spans="1:32" s="49" customFormat="1" ht="40.5" customHeight="1" x14ac:dyDescent="0.25">
      <c r="A43" s="103" t="str">
        <f>6&amp;E43</f>
        <v>6a</v>
      </c>
      <c r="B43" s="217" t="s">
        <v>86</v>
      </c>
      <c r="C43" s="248" t="s">
        <v>87</v>
      </c>
      <c r="D43" s="214" t="s">
        <v>88</v>
      </c>
      <c r="E43" s="81" t="s">
        <v>34</v>
      </c>
      <c r="F43" s="82" t="s">
        <v>89</v>
      </c>
      <c r="G43" s="112" t="s">
        <v>39</v>
      </c>
      <c r="H43" s="113" t="s">
        <v>206</v>
      </c>
      <c r="I43" s="104" t="str">
        <f t="shared" si="2"/>
        <v>Mantenimiento del control</v>
      </c>
      <c r="J43" s="105">
        <f t="shared" ref="J43:J49" si="10">+IF(G43="Si",80,IF(G43="En proceso",70,60))</f>
        <v>80</v>
      </c>
      <c r="K43" s="105">
        <v>0.41199999999999998</v>
      </c>
      <c r="L43" s="105">
        <f t="shared" si="3"/>
        <v>80.412000000000006</v>
      </c>
    </row>
    <row r="44" spans="1:32" s="49" customFormat="1" ht="33" customHeight="1" x14ac:dyDescent="0.25">
      <c r="A44" s="103" t="str">
        <f t="shared" ref="A44:A49" si="11">6&amp;E44</f>
        <v>6b</v>
      </c>
      <c r="B44" s="218"/>
      <c r="C44" s="249"/>
      <c r="D44" s="215"/>
      <c r="E44" s="83" t="s">
        <v>37</v>
      </c>
      <c r="F44" s="85" t="s">
        <v>90</v>
      </c>
      <c r="G44" s="116" t="s">
        <v>39</v>
      </c>
      <c r="H44" s="117" t="s">
        <v>192</v>
      </c>
      <c r="I44" s="108" t="str">
        <f t="shared" si="2"/>
        <v>Mantenimiento del control</v>
      </c>
      <c r="J44" s="105">
        <f t="shared" si="10"/>
        <v>80</v>
      </c>
      <c r="K44" s="105">
        <v>0.4123</v>
      </c>
      <c r="L44" s="105">
        <f t="shared" si="3"/>
        <v>80.412300000000002</v>
      </c>
    </row>
    <row r="45" spans="1:32" s="49" customFormat="1" ht="47.25" x14ac:dyDescent="0.25">
      <c r="A45" s="103" t="str">
        <f t="shared" si="11"/>
        <v>6c</v>
      </c>
      <c r="B45" s="218"/>
      <c r="C45" s="249"/>
      <c r="D45" s="215"/>
      <c r="E45" s="83" t="s">
        <v>40</v>
      </c>
      <c r="F45" s="85" t="s">
        <v>91</v>
      </c>
      <c r="G45" s="116" t="s">
        <v>39</v>
      </c>
      <c r="H45" s="117"/>
      <c r="I45" s="108" t="str">
        <f t="shared" si="2"/>
        <v>Mantenimiento del control</v>
      </c>
      <c r="J45" s="105">
        <f t="shared" si="10"/>
        <v>80</v>
      </c>
      <c r="K45" s="105">
        <v>0.41233999999999998</v>
      </c>
      <c r="L45" s="105">
        <f t="shared" si="3"/>
        <v>80.41234</v>
      </c>
    </row>
    <row r="46" spans="1:32" s="49" customFormat="1" ht="31.5" x14ac:dyDescent="0.25">
      <c r="A46" s="103" t="str">
        <f t="shared" si="11"/>
        <v>6d</v>
      </c>
      <c r="B46" s="218"/>
      <c r="C46" s="249"/>
      <c r="D46" s="215"/>
      <c r="E46" s="83" t="s">
        <v>42</v>
      </c>
      <c r="F46" s="85" t="s">
        <v>92</v>
      </c>
      <c r="G46" s="116" t="s">
        <v>36</v>
      </c>
      <c r="H46" s="117"/>
      <c r="I46" s="108" t="str">
        <f t="shared" si="2"/>
        <v>Deficiencia de control</v>
      </c>
      <c r="J46" s="105">
        <f t="shared" si="10"/>
        <v>60</v>
      </c>
      <c r="K46" s="105">
        <v>0.41234500000000002</v>
      </c>
      <c r="L46" s="105">
        <f t="shared" si="3"/>
        <v>60.412345000000002</v>
      </c>
    </row>
    <row r="47" spans="1:32" s="49" customFormat="1" ht="63" x14ac:dyDescent="0.25">
      <c r="A47" s="103" t="str">
        <f t="shared" si="11"/>
        <v>6e</v>
      </c>
      <c r="B47" s="218"/>
      <c r="C47" s="249"/>
      <c r="D47" s="215"/>
      <c r="E47" s="83" t="s">
        <v>44</v>
      </c>
      <c r="F47" s="85" t="s">
        <v>93</v>
      </c>
      <c r="G47" s="116" t="s">
        <v>39</v>
      </c>
      <c r="H47" s="117"/>
      <c r="I47" s="108" t="str">
        <f t="shared" si="2"/>
        <v>Mantenimiento del control</v>
      </c>
      <c r="J47" s="105">
        <f t="shared" si="10"/>
        <v>80</v>
      </c>
      <c r="K47" s="105">
        <v>0.41234559999999998</v>
      </c>
      <c r="L47" s="105">
        <f t="shared" si="3"/>
        <v>80.412345599999995</v>
      </c>
    </row>
    <row r="48" spans="1:32" s="49" customFormat="1" ht="63" x14ac:dyDescent="0.25">
      <c r="A48" s="103" t="str">
        <f t="shared" si="11"/>
        <v>6f</v>
      </c>
      <c r="B48" s="218"/>
      <c r="C48" s="249"/>
      <c r="D48" s="215"/>
      <c r="E48" s="83" t="s">
        <v>46</v>
      </c>
      <c r="F48" s="85" t="s">
        <v>94</v>
      </c>
      <c r="G48" s="116" t="s">
        <v>36</v>
      </c>
      <c r="H48" s="117"/>
      <c r="I48" s="108" t="str">
        <f t="shared" si="2"/>
        <v>Deficiencia de control</v>
      </c>
      <c r="J48" s="105">
        <f t="shared" si="10"/>
        <v>60</v>
      </c>
      <c r="K48" s="105">
        <v>0.41234567</v>
      </c>
      <c r="L48" s="105">
        <f t="shared" si="3"/>
        <v>60.412345670000001</v>
      </c>
    </row>
    <row r="49" spans="1:17" s="49" customFormat="1" ht="48" thickBot="1" x14ac:dyDescent="0.3">
      <c r="A49" s="103" t="str">
        <f t="shared" si="11"/>
        <v>6g</v>
      </c>
      <c r="B49" s="219"/>
      <c r="C49" s="250"/>
      <c r="D49" s="216"/>
      <c r="E49" s="86" t="s">
        <v>48</v>
      </c>
      <c r="F49" s="87" t="s">
        <v>95</v>
      </c>
      <c r="G49" s="118" t="s">
        <v>36</v>
      </c>
      <c r="H49" s="119"/>
      <c r="I49" s="109" t="str">
        <f t="shared" si="2"/>
        <v>Deficiencia de control</v>
      </c>
      <c r="J49" s="105">
        <f t="shared" si="10"/>
        <v>60</v>
      </c>
      <c r="K49" s="105">
        <v>0.41234567799999999</v>
      </c>
      <c r="L49" s="105">
        <f t="shared" si="3"/>
        <v>60.412345678000001</v>
      </c>
    </row>
    <row r="50" spans="1:17" s="49" customFormat="1" ht="54.75" customHeight="1" x14ac:dyDescent="0.25">
      <c r="A50" s="103" t="str">
        <f>7&amp;E50</f>
        <v>7a</v>
      </c>
      <c r="B50" s="223" t="s">
        <v>96</v>
      </c>
      <c r="C50" s="251" t="s">
        <v>97</v>
      </c>
      <c r="D50" s="220" t="s">
        <v>98</v>
      </c>
      <c r="E50" s="81" t="s">
        <v>34</v>
      </c>
      <c r="F50" s="82" t="s">
        <v>99</v>
      </c>
      <c r="G50" s="112" t="s">
        <v>76</v>
      </c>
      <c r="H50" s="113"/>
      <c r="I50" s="104" t="str">
        <f t="shared" si="2"/>
        <v>Oportunidad de mejora</v>
      </c>
      <c r="J50" s="105">
        <f>+IF(G50="Si",120,IF(G50="En proceso",100,80))</f>
        <v>100</v>
      </c>
      <c r="K50" s="105">
        <v>0.85099999999999998</v>
      </c>
      <c r="L50" s="105">
        <f t="shared" si="3"/>
        <v>100.851</v>
      </c>
    </row>
    <row r="51" spans="1:17" s="49" customFormat="1" ht="94.5" x14ac:dyDescent="0.25">
      <c r="A51" s="103" t="str">
        <f t="shared" ref="A51:A53" si="12">7&amp;E51</f>
        <v>7d</v>
      </c>
      <c r="B51" s="224"/>
      <c r="C51" s="252"/>
      <c r="D51" s="221"/>
      <c r="E51" s="83" t="s">
        <v>42</v>
      </c>
      <c r="F51" s="85" t="s">
        <v>100</v>
      </c>
      <c r="G51" s="116" t="s">
        <v>76</v>
      </c>
      <c r="H51" s="117" t="s">
        <v>193</v>
      </c>
      <c r="I51" s="108" t="str">
        <f t="shared" si="2"/>
        <v>Oportunidad de mejora</v>
      </c>
      <c r="J51" s="105">
        <f t="shared" ref="J51:J59" si="13">+IF(G51="Si",120,IF(G51="En proceso",100,80))</f>
        <v>100</v>
      </c>
      <c r="K51" s="105">
        <v>0.85119999999999996</v>
      </c>
      <c r="L51" s="105">
        <f t="shared" si="3"/>
        <v>100.85120000000001</v>
      </c>
    </row>
    <row r="52" spans="1:17" s="49" customFormat="1" ht="47.25" x14ac:dyDescent="0.25">
      <c r="A52" s="103" t="str">
        <f t="shared" si="12"/>
        <v>7f</v>
      </c>
      <c r="B52" s="224"/>
      <c r="C52" s="252"/>
      <c r="D52" s="221"/>
      <c r="E52" s="83" t="s">
        <v>46</v>
      </c>
      <c r="F52" s="85" t="s">
        <v>101</v>
      </c>
      <c r="G52" s="116" t="s">
        <v>36</v>
      </c>
      <c r="H52" s="117"/>
      <c r="I52" s="108" t="str">
        <f t="shared" si="2"/>
        <v>Deficiencia de control</v>
      </c>
      <c r="J52" s="105">
        <f t="shared" si="13"/>
        <v>80</v>
      </c>
      <c r="K52" s="105">
        <v>0.85123000000000004</v>
      </c>
      <c r="L52" s="105">
        <f t="shared" si="3"/>
        <v>80.851230000000001</v>
      </c>
    </row>
    <row r="53" spans="1:17" s="49" customFormat="1" ht="48" thickBot="1" x14ac:dyDescent="0.3">
      <c r="A53" s="103" t="str">
        <f t="shared" si="12"/>
        <v>7g</v>
      </c>
      <c r="B53" s="225"/>
      <c r="C53" s="253"/>
      <c r="D53" s="222"/>
      <c r="E53" s="86" t="s">
        <v>48</v>
      </c>
      <c r="F53" s="87" t="s">
        <v>102</v>
      </c>
      <c r="G53" s="118" t="s">
        <v>36</v>
      </c>
      <c r="H53" s="119"/>
      <c r="I53" s="109" t="str">
        <f t="shared" si="2"/>
        <v>Deficiencia de control</v>
      </c>
      <c r="J53" s="105">
        <f t="shared" si="13"/>
        <v>80</v>
      </c>
      <c r="K53" s="105">
        <v>0.85123400000000005</v>
      </c>
      <c r="L53" s="105">
        <f t="shared" si="3"/>
        <v>80.851234000000005</v>
      </c>
    </row>
    <row r="54" spans="1:17" s="49" customFormat="1" ht="102.75" customHeight="1" thickBot="1" x14ac:dyDescent="0.3">
      <c r="A54" s="103" t="str">
        <f>8&amp;E54</f>
        <v>8h</v>
      </c>
      <c r="B54" s="162" t="s">
        <v>103</v>
      </c>
      <c r="C54" s="163" t="s">
        <v>97</v>
      </c>
      <c r="D54" s="76" t="s">
        <v>104</v>
      </c>
      <c r="E54" s="81" t="s">
        <v>50</v>
      </c>
      <c r="F54" s="82" t="s">
        <v>105</v>
      </c>
      <c r="G54" s="112" t="s">
        <v>39</v>
      </c>
      <c r="H54" s="113"/>
      <c r="I54" s="104" t="str">
        <f t="shared" si="2"/>
        <v>Mantenimiento del control</v>
      </c>
      <c r="J54" s="105">
        <f t="shared" si="13"/>
        <v>120</v>
      </c>
      <c r="K54" s="105">
        <v>0.85123450000000001</v>
      </c>
      <c r="L54" s="105">
        <f t="shared" si="3"/>
        <v>120.8512345</v>
      </c>
    </row>
    <row r="55" spans="1:17" s="49" customFormat="1" ht="54.75" customHeight="1" x14ac:dyDescent="0.25">
      <c r="A55" s="103" t="str">
        <f>9&amp;E55</f>
        <v>9a</v>
      </c>
      <c r="B55" s="223" t="s">
        <v>106</v>
      </c>
      <c r="C55" s="251" t="s">
        <v>97</v>
      </c>
      <c r="D55" s="220" t="s">
        <v>107</v>
      </c>
      <c r="E55" s="81" t="s">
        <v>34</v>
      </c>
      <c r="F55" s="82" t="s">
        <v>108</v>
      </c>
      <c r="G55" s="112" t="s">
        <v>36</v>
      </c>
      <c r="H55" s="113"/>
      <c r="I55" s="104" t="str">
        <f t="shared" si="2"/>
        <v>Deficiencia de control</v>
      </c>
      <c r="J55" s="105">
        <f t="shared" si="13"/>
        <v>80</v>
      </c>
      <c r="K55" s="110">
        <v>0.85123455999999997</v>
      </c>
      <c r="L55" s="105">
        <f t="shared" si="3"/>
        <v>80.851234559999995</v>
      </c>
      <c r="M55" s="48"/>
      <c r="N55" s="48"/>
      <c r="O55" s="48"/>
      <c r="P55" s="48"/>
      <c r="Q55" s="48"/>
    </row>
    <row r="56" spans="1:17" s="49" customFormat="1" ht="55.5" customHeight="1" x14ac:dyDescent="0.25">
      <c r="A56" s="103" t="str">
        <f t="shared" ref="A56:A59" si="14">9&amp;E56</f>
        <v>9b</v>
      </c>
      <c r="B56" s="224"/>
      <c r="C56" s="252"/>
      <c r="D56" s="221"/>
      <c r="E56" s="83" t="s">
        <v>37</v>
      </c>
      <c r="F56" s="85" t="s">
        <v>109</v>
      </c>
      <c r="G56" s="116" t="s">
        <v>39</v>
      </c>
      <c r="H56" s="117" t="s">
        <v>208</v>
      </c>
      <c r="I56" s="108" t="str">
        <f t="shared" si="2"/>
        <v>Mantenimiento del control</v>
      </c>
      <c r="J56" s="105">
        <f t="shared" si="13"/>
        <v>120</v>
      </c>
      <c r="K56" s="110">
        <v>0.851234567</v>
      </c>
      <c r="L56" s="105">
        <f t="shared" si="3"/>
        <v>120.85123456700001</v>
      </c>
      <c r="M56" s="48"/>
      <c r="N56" s="48"/>
      <c r="O56" s="48"/>
      <c r="P56" s="48"/>
      <c r="Q56" s="48"/>
    </row>
    <row r="57" spans="1:17" s="49" customFormat="1" ht="77.25" customHeight="1" x14ac:dyDescent="0.25">
      <c r="A57" s="103" t="str">
        <f t="shared" si="14"/>
        <v>9c</v>
      </c>
      <c r="B57" s="224"/>
      <c r="C57" s="252"/>
      <c r="D57" s="221"/>
      <c r="E57" s="83" t="s">
        <v>40</v>
      </c>
      <c r="F57" s="85" t="s">
        <v>110</v>
      </c>
      <c r="G57" s="116" t="s">
        <v>39</v>
      </c>
      <c r="H57" s="117" t="s">
        <v>209</v>
      </c>
      <c r="I57" s="108" t="str">
        <f t="shared" si="2"/>
        <v>Mantenimiento del control</v>
      </c>
      <c r="J57" s="105">
        <f t="shared" si="13"/>
        <v>120</v>
      </c>
      <c r="K57" s="110">
        <v>0.85123456779999995</v>
      </c>
      <c r="L57" s="105">
        <f t="shared" si="3"/>
        <v>120.85123456780001</v>
      </c>
      <c r="M57" s="48"/>
      <c r="N57" s="48"/>
      <c r="O57" s="48"/>
      <c r="P57" s="48"/>
      <c r="Q57" s="48"/>
    </row>
    <row r="58" spans="1:17" s="49" customFormat="1" ht="77.25" customHeight="1" x14ac:dyDescent="0.25">
      <c r="A58" s="103" t="str">
        <f t="shared" si="14"/>
        <v>9d</v>
      </c>
      <c r="B58" s="224"/>
      <c r="C58" s="252"/>
      <c r="D58" s="221"/>
      <c r="E58" s="83" t="s">
        <v>42</v>
      </c>
      <c r="F58" s="85" t="s">
        <v>111</v>
      </c>
      <c r="G58" s="116" t="s">
        <v>76</v>
      </c>
      <c r="H58" s="117"/>
      <c r="I58" s="108" t="str">
        <f t="shared" si="2"/>
        <v>Oportunidad de mejora</v>
      </c>
      <c r="J58" s="105">
        <f t="shared" si="13"/>
        <v>100</v>
      </c>
      <c r="K58" s="110">
        <v>0.85123456788999996</v>
      </c>
      <c r="L58" s="105">
        <f t="shared" si="3"/>
        <v>100.85123456789</v>
      </c>
      <c r="M58" s="48"/>
      <c r="N58" s="48"/>
      <c r="O58" s="48"/>
      <c r="P58" s="48"/>
      <c r="Q58" s="48"/>
    </row>
    <row r="59" spans="1:17" s="49" customFormat="1" ht="77.25" customHeight="1" thickBot="1" x14ac:dyDescent="0.3">
      <c r="A59" s="103" t="str">
        <f t="shared" si="14"/>
        <v>9e</v>
      </c>
      <c r="B59" s="225"/>
      <c r="C59" s="252"/>
      <c r="D59" s="238"/>
      <c r="E59" s="86" t="s">
        <v>44</v>
      </c>
      <c r="F59" s="87" t="s">
        <v>112</v>
      </c>
      <c r="G59" s="118" t="s">
        <v>39</v>
      </c>
      <c r="H59" s="119" t="s">
        <v>218</v>
      </c>
      <c r="I59" s="109" t="str">
        <f t="shared" si="2"/>
        <v>Mantenimiento del control</v>
      </c>
      <c r="J59" s="105">
        <f t="shared" si="13"/>
        <v>120</v>
      </c>
      <c r="K59" s="110">
        <v>0.85123456789100005</v>
      </c>
      <c r="L59" s="105">
        <f t="shared" si="3"/>
        <v>120.851234567891</v>
      </c>
      <c r="M59" s="48"/>
      <c r="N59" s="48"/>
      <c r="O59" s="48"/>
      <c r="P59" s="48"/>
      <c r="Q59" s="48"/>
    </row>
  </sheetData>
  <sheetProtection algorithmName="SHA-512" hashValue="3f8q67IhQ+195mCCu45JxrnKZ5NQYpYn/4DMJ1qNlLoW+1h5DdlwjNz0RDsqicEeH5OxPhf5j92R5BAeBl6Iaw==" saltValue="5vY6GrPfNxnRatmVvJafnA==" spinCount="100000" sheet="1" objects="1" scenarios="1" formatCells="0" formatColumns="0" formatRows="0"/>
  <mergeCells count="25">
    <mergeCell ref="D55:D59"/>
    <mergeCell ref="B55:B59"/>
    <mergeCell ref="C16:C27"/>
    <mergeCell ref="C28:C31"/>
    <mergeCell ref="C38:C42"/>
    <mergeCell ref="C43:C49"/>
    <mergeCell ref="C50:C53"/>
    <mergeCell ref="C32:C34"/>
    <mergeCell ref="C35:C37"/>
    <mergeCell ref="C55:C59"/>
    <mergeCell ref="D32:D34"/>
    <mergeCell ref="B32:B34"/>
    <mergeCell ref="B35:B37"/>
    <mergeCell ref="D35:D37"/>
    <mergeCell ref="B38:B42"/>
    <mergeCell ref="D38:D42"/>
    <mergeCell ref="B14:I14"/>
    <mergeCell ref="D43:D49"/>
    <mergeCell ref="B43:B49"/>
    <mergeCell ref="D50:D53"/>
    <mergeCell ref="B50:B53"/>
    <mergeCell ref="D16:D27"/>
    <mergeCell ref="B16:B27"/>
    <mergeCell ref="B28:B31"/>
    <mergeCell ref="D28:D31"/>
  </mergeCells>
  <dataValidations count="2">
    <dataValidation type="list" allowBlank="1" showInputMessage="1" showErrorMessage="1" sqref="G55:G59 G16:G53">
      <formula1>"Si, No, En proceso"</formula1>
    </dataValidation>
    <dataValidation type="list" allowBlank="1" showInputMessage="1" showErrorMessage="1" sqref="G54">
      <formula1>"Si, No"</formula1>
    </dataValidation>
  </dataValidations>
  <pageMargins left="0.7" right="0.7" top="0.75" bottom="0.75" header="0.3" footer="0.3"/>
  <pageSetup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74"/>
  <sheetViews>
    <sheetView topLeftCell="A82" zoomScale="80" zoomScaleNormal="80" workbookViewId="0">
      <selection activeCell="E11" sqref="E11:F11"/>
    </sheetView>
  </sheetViews>
  <sheetFormatPr baseColWidth="10" defaultColWidth="11.42578125" defaultRowHeight="15" x14ac:dyDescent="0.25"/>
  <cols>
    <col min="3" max="3" width="22.85546875" customWidth="1"/>
    <col min="4" max="4" width="22.5703125" customWidth="1"/>
    <col min="5" max="5" width="53.42578125" customWidth="1"/>
    <col min="7" max="7" width="28.28515625" customWidth="1"/>
    <col min="8" max="8" width="4.85546875" customWidth="1"/>
    <col min="9" max="9" width="15.28515625" customWidth="1"/>
    <col min="10" max="10" width="22.42578125" customWidth="1"/>
    <col min="11" max="29" width="11.42578125" style="1"/>
  </cols>
  <sheetData>
    <row r="1" spans="1:11" x14ac:dyDescent="0.25">
      <c r="A1" s="1"/>
      <c r="B1" s="1"/>
      <c r="C1" s="1"/>
      <c r="D1" s="1"/>
      <c r="E1" s="1"/>
      <c r="F1" s="1"/>
      <c r="G1" s="1"/>
      <c r="H1" s="1"/>
      <c r="I1" s="1"/>
      <c r="J1" s="1"/>
    </row>
    <row r="2" spans="1:11" s="1" customFormat="1" x14ac:dyDescent="0.25"/>
    <row r="3" spans="1:11" s="1" customFormat="1" x14ac:dyDescent="0.25"/>
    <row r="4" spans="1:11" x14ac:dyDescent="0.25">
      <c r="A4" s="1"/>
      <c r="B4" s="1"/>
      <c r="C4" s="1"/>
      <c r="D4" s="1"/>
      <c r="E4" s="1"/>
      <c r="F4" s="1"/>
      <c r="G4" s="1"/>
      <c r="H4" s="1"/>
      <c r="I4" s="1"/>
      <c r="J4" s="1"/>
    </row>
    <row r="5" spans="1:11" x14ac:dyDescent="0.25">
      <c r="A5" s="1"/>
      <c r="B5" s="1"/>
      <c r="C5" s="1"/>
      <c r="D5" s="1"/>
      <c r="E5" s="1"/>
      <c r="F5" s="1"/>
      <c r="G5" s="1"/>
      <c r="H5" s="1"/>
      <c r="I5" s="1"/>
      <c r="J5" s="1"/>
    </row>
    <row r="6" spans="1:11" ht="15.75" thickBot="1" x14ac:dyDescent="0.3">
      <c r="A6" s="1"/>
      <c r="B6" s="1"/>
      <c r="C6" s="1"/>
      <c r="D6" s="1"/>
      <c r="E6" s="1"/>
      <c r="F6" s="1"/>
      <c r="G6" s="1"/>
      <c r="H6" s="1"/>
      <c r="I6" s="1"/>
      <c r="J6" s="1"/>
    </row>
    <row r="7" spans="1:11" ht="26.25" thickBot="1" x14ac:dyDescent="0.3">
      <c r="A7" s="1"/>
      <c r="B7" s="1"/>
      <c r="C7" s="263" t="s">
        <v>113</v>
      </c>
      <c r="D7" s="264"/>
      <c r="E7" s="264"/>
      <c r="F7" s="264"/>
      <c r="G7" s="264"/>
      <c r="H7" s="264"/>
      <c r="I7" s="264"/>
      <c r="J7" s="264"/>
      <c r="K7" s="265"/>
    </row>
    <row r="8" spans="1:11" s="1" customFormat="1" ht="15.75" thickBot="1" x14ac:dyDescent="0.3">
      <c r="C8" s="39"/>
      <c r="D8" s="39"/>
      <c r="E8" s="40"/>
      <c r="F8" s="40"/>
      <c r="G8" s="40"/>
      <c r="H8" s="40"/>
      <c r="I8" s="50"/>
      <c r="J8" s="40"/>
      <c r="K8" s="40"/>
    </row>
    <row r="9" spans="1:11" ht="21" thickBot="1" x14ac:dyDescent="0.3">
      <c r="A9" s="1"/>
      <c r="B9" s="1"/>
      <c r="C9" s="172" t="s">
        <v>15</v>
      </c>
      <c r="D9" s="173"/>
      <c r="E9" s="173" t="s">
        <v>16</v>
      </c>
      <c r="F9" s="184"/>
      <c r="G9" s="40"/>
      <c r="H9" s="40"/>
      <c r="I9" s="50"/>
      <c r="J9" s="40"/>
      <c r="K9" s="40"/>
    </row>
    <row r="10" spans="1:11" ht="54" customHeight="1" x14ac:dyDescent="0.25">
      <c r="A10" s="1"/>
      <c r="B10" s="1"/>
      <c r="C10" s="185" t="s">
        <v>17</v>
      </c>
      <c r="D10" s="186"/>
      <c r="E10" s="187" t="s">
        <v>18</v>
      </c>
      <c r="F10" s="188"/>
      <c r="G10" s="41"/>
      <c r="H10" s="42">
        <v>1</v>
      </c>
      <c r="I10" s="50"/>
      <c r="J10" s="40"/>
      <c r="K10" s="40"/>
    </row>
    <row r="11" spans="1:11" ht="46.5" customHeight="1" x14ac:dyDescent="0.25">
      <c r="A11" s="1"/>
      <c r="B11" s="1"/>
      <c r="C11" s="174" t="s">
        <v>19</v>
      </c>
      <c r="D11" s="175"/>
      <c r="E11" s="176" t="s">
        <v>114</v>
      </c>
      <c r="F11" s="177"/>
      <c r="G11" s="43" t="s">
        <v>115</v>
      </c>
      <c r="H11" s="42">
        <v>0.75</v>
      </c>
      <c r="I11" s="50"/>
      <c r="J11" s="40"/>
      <c r="K11" s="40"/>
    </row>
    <row r="12" spans="1:11" ht="70.5" customHeight="1" thickBot="1" x14ac:dyDescent="0.3">
      <c r="A12" s="1"/>
      <c r="B12" s="1"/>
      <c r="C12" s="178" t="s">
        <v>21</v>
      </c>
      <c r="D12" s="179"/>
      <c r="E12" s="180" t="s">
        <v>116</v>
      </c>
      <c r="F12" s="181"/>
      <c r="G12" s="44"/>
      <c r="H12" s="42">
        <v>0.25</v>
      </c>
      <c r="I12" s="50"/>
      <c r="J12" s="40"/>
      <c r="K12" s="40"/>
    </row>
    <row r="13" spans="1:11" s="1" customFormat="1" x14ac:dyDescent="0.25"/>
    <row r="14" spans="1:11" s="1" customFormat="1" x14ac:dyDescent="0.25"/>
    <row r="15" spans="1:11" s="1" customFormat="1" x14ac:dyDescent="0.25"/>
    <row r="16" spans="1:11" s="1" customFormat="1" ht="15.75" thickBot="1" x14ac:dyDescent="0.3"/>
    <row r="17" spans="1:10" x14ac:dyDescent="0.25">
      <c r="A17" s="1"/>
      <c r="B17" s="1"/>
      <c r="C17" s="271" t="s">
        <v>117</v>
      </c>
      <c r="D17" s="273" t="s">
        <v>118</v>
      </c>
      <c r="E17" s="274"/>
      <c r="F17" s="275" t="s">
        <v>119</v>
      </c>
      <c r="G17" s="277" t="s">
        <v>120</v>
      </c>
      <c r="H17" s="38"/>
      <c r="I17" s="266" t="s">
        <v>121</v>
      </c>
      <c r="J17" s="266" t="s">
        <v>122</v>
      </c>
    </row>
    <row r="18" spans="1:10" ht="36" customHeight="1" thickBot="1" x14ac:dyDescent="0.3">
      <c r="A18" s="1"/>
      <c r="B18" s="1"/>
      <c r="C18" s="272"/>
      <c r="D18" s="122" t="s">
        <v>123</v>
      </c>
      <c r="E18" s="123" t="s">
        <v>27</v>
      </c>
      <c r="F18" s="276"/>
      <c r="G18" s="278"/>
      <c r="H18" s="38"/>
      <c r="I18" s="267"/>
      <c r="J18" s="267"/>
    </row>
    <row r="19" spans="1:10" ht="65.25" customHeight="1" x14ac:dyDescent="0.25">
      <c r="A19" s="1"/>
      <c r="B19" s="1"/>
      <c r="C19" s="141">
        <v>1</v>
      </c>
      <c r="D19" s="268" t="s">
        <v>32</v>
      </c>
      <c r="E19" s="124" t="str">
        <f>+IFERROR(INDEX(Hoja1!$E$2:$E$45,MATCH('Análisis Resultados'!C19,Hoja1!$H$2:$H$45,0)),"")</f>
        <v>Procesos de inducción, capacitación y bienestar social para sus servidores públicos, de manera directa o en asociación con otras entidades municipales</v>
      </c>
      <c r="F19" s="125" t="str">
        <f>+IFERROR(VLOOKUP(C19,Hoja1!$H$2:$I$45,2,0),"")</f>
        <v>No</v>
      </c>
      <c r="G19" s="126" t="str">
        <f>+IF(F19="Si","Existe requerimiento pero se requiere actividades  dirigidas a su mantenimiento dentro del marco de las lineas de defensa.",IF(F19="En proceso","Se encuentra en proceso, pero requiere continuar con acciones dirigidas a contar con dicho aspecto de control.","No se encuentra el aspecto  por lo tanto la entidad debera generar acciones dirigidas a que se cumpla con el requerimiento."))</f>
        <v>No se encuentra el aspecto  por lo tanto la entidad debera generar acciones dirigidas a que se cumpla con el requerimiento.</v>
      </c>
      <c r="H19" s="18"/>
      <c r="I19" s="142">
        <f>+IF(F19="Si",1,IF(F19="En proceso",0.5,0))</f>
        <v>0</v>
      </c>
      <c r="J19" s="281">
        <f>+AVERAGE(I19:I30)</f>
        <v>0.75</v>
      </c>
    </row>
    <row r="20" spans="1:10" ht="45" x14ac:dyDescent="0.25">
      <c r="A20" s="1"/>
      <c r="B20" s="1"/>
      <c r="C20" s="141">
        <v>2</v>
      </c>
      <c r="D20" s="269"/>
      <c r="E20" s="127" t="str">
        <f>+IFERROR(INDEX(Hoja1!$E$2:$E$45,MATCH('Análisis Resultados'!C20,Hoja1!$H$2:$H$45,0)),"")</f>
        <v>Evaluación a los servidores públicos de acuerdo con el marco normativo que le rige</v>
      </c>
      <c r="F20" s="128" t="str">
        <f>+IFERROR(VLOOKUP(C20,Hoja1!$H$2:$I$45,2,0),"")</f>
        <v>No</v>
      </c>
      <c r="G20" s="129" t="str">
        <f t="shared" ref="G20:G62" si="0">+IF(F20="Si","Existe requerimiento pero se requiere actividades  dirigidas a su mantenimiento dentro del marco de las lineas de defensa.",IF(F20="En proceso","Se encuentra en proceso, pero requiere continuar con acciones dirigidas a contar con dicho aspecto de control.","No se encuentra el aspecto  por lo tanto la entidad debera generar acciones dirigidas a que se cumpla con el requerimiento."))</f>
        <v>No se encuentra el aspecto  por lo tanto la entidad debera generar acciones dirigidas a que se cumpla con el requerimiento.</v>
      </c>
      <c r="H20" s="18"/>
      <c r="I20" s="143">
        <f t="shared" ref="I20:I62" si="1">+IF(F20="Si",1,IF(F20="En proceso",0.5,0))</f>
        <v>0</v>
      </c>
      <c r="J20" s="282"/>
    </row>
    <row r="21" spans="1:10" ht="45" x14ac:dyDescent="0.25">
      <c r="A21" s="1"/>
      <c r="B21" s="1"/>
      <c r="C21" s="141">
        <v>3</v>
      </c>
      <c r="D21" s="269"/>
      <c r="E21" s="127" t="str">
        <f>+IFERROR(INDEX(Hoja1!$E$2:$E$45,MATCH('Análisis Resultados'!C21,Hoja1!$H$2:$H$45,0)),"")</f>
        <v>Procesos de desvinculación de servidores de acuerdo con lo previsto en la Constitución Política y las leyes</v>
      </c>
      <c r="F21" s="128" t="str">
        <f>+IFERROR(VLOOKUP(C21,Hoja1!$H$2:$I$45,2,0),"")</f>
        <v>No</v>
      </c>
      <c r="G21" s="129" t="str">
        <f t="shared" si="0"/>
        <v>No se encuentra el aspecto  por lo tanto la entidad debera generar acciones dirigidas a que se cumpla con el requerimiento.</v>
      </c>
      <c r="H21" s="18"/>
      <c r="I21" s="143">
        <f t="shared" si="1"/>
        <v>0</v>
      </c>
      <c r="J21" s="282"/>
    </row>
    <row r="22" spans="1:10" ht="56.25" customHeight="1" x14ac:dyDescent="0.25">
      <c r="A22" s="1"/>
      <c r="B22" s="1"/>
      <c r="C22" s="141">
        <v>4</v>
      </c>
      <c r="D22" s="269"/>
      <c r="E22" s="127" t="str">
        <f>+IFERROR(INDEX(Hoja1!$E$2:$E$45,MATCH('Análisis Resultados'!C22,Hoja1!$H$2:$H$45,0)),"")</f>
        <v>Documento interno o adopción del MECI actualizado</v>
      </c>
      <c r="F22" s="128" t="str">
        <f>+IFERROR(VLOOKUP(C22,Hoja1!$H$2:$I$45,2,0),"")</f>
        <v>Si</v>
      </c>
      <c r="G22" s="129" t="str">
        <f t="shared" si="0"/>
        <v>Existe requerimiento pero se requiere actividades  dirigidas a su mantenimiento dentro del marco de las lineas de defensa.</v>
      </c>
      <c r="H22" s="18"/>
      <c r="I22" s="143">
        <f t="shared" si="1"/>
        <v>1</v>
      </c>
      <c r="J22" s="282"/>
    </row>
    <row r="23" spans="1:10" ht="57" x14ac:dyDescent="0.25">
      <c r="A23" s="1"/>
      <c r="B23" s="1"/>
      <c r="C23" s="141">
        <v>5</v>
      </c>
      <c r="D23" s="269"/>
      <c r="E23" s="127" t="str">
        <f>+IFERROR(INDEX(Hoja1!$E$2:$E$45,MATCH('Análisis Resultados'!C23,Hoja1!$H$2:$H$45,0)),"")</f>
        <v>Un documento tal como un código de ética, integridad u otro que formalice los estándares de conducta, los principios institucionales o los valores del servicio público</v>
      </c>
      <c r="F23" s="128" t="str">
        <f>+IFERROR(VLOOKUP(C23,Hoja1!$H$2:$I$45,2,0),"")</f>
        <v>Si</v>
      </c>
      <c r="G23" s="129" t="str">
        <f t="shared" si="0"/>
        <v>Existe requerimiento pero se requiere actividades  dirigidas a su mantenimiento dentro del marco de las lineas de defensa.</v>
      </c>
      <c r="H23" s="18"/>
      <c r="I23" s="143">
        <f t="shared" si="1"/>
        <v>1</v>
      </c>
      <c r="J23" s="282"/>
    </row>
    <row r="24" spans="1:10" ht="45" x14ac:dyDescent="0.25">
      <c r="A24" s="1"/>
      <c r="B24" s="1"/>
      <c r="C24" s="141">
        <v>6</v>
      </c>
      <c r="D24" s="269"/>
      <c r="E24" s="127" t="str">
        <f>+IFERROR(INDEX(Hoja1!$E$2:$E$45,MATCH('Análisis Resultados'!C24,Hoja1!$H$2:$H$45,0)),"")</f>
        <v>Planes, programas y proyectos de acuerdo con las normas que rigen y atendiendo con su propósito fundamental institucional (misión)</v>
      </c>
      <c r="F24" s="128" t="str">
        <f>+IFERROR(VLOOKUP(C24,Hoja1!$H$2:$I$45,2,0),"")</f>
        <v>Si</v>
      </c>
      <c r="G24" s="129" t="str">
        <f t="shared" si="0"/>
        <v>Existe requerimiento pero se requiere actividades  dirigidas a su mantenimiento dentro del marco de las lineas de defensa.</v>
      </c>
      <c r="H24" s="18"/>
      <c r="I24" s="143">
        <f t="shared" si="1"/>
        <v>1</v>
      </c>
      <c r="J24" s="282"/>
    </row>
    <row r="25" spans="1:10" ht="45" x14ac:dyDescent="0.25">
      <c r="A25" s="1"/>
      <c r="B25" s="1"/>
      <c r="C25" s="141">
        <v>7</v>
      </c>
      <c r="D25" s="269"/>
      <c r="E25" s="127" t="str">
        <f>+IFERROR(INDEX(Hoja1!$E$2:$E$45,MATCH('Análisis Resultados'!C25,Hoja1!$H$2:$H$45,0)),"")</f>
        <v>Una estructura organizacional formalizada (organigrama)</v>
      </c>
      <c r="F25" s="128" t="str">
        <f>+IFERROR(VLOOKUP(C25,Hoja1!$H$2:$I$45,2,0),"")</f>
        <v>Si</v>
      </c>
      <c r="G25" s="129" t="str">
        <f t="shared" si="0"/>
        <v>Existe requerimiento pero se requiere actividades  dirigidas a su mantenimiento dentro del marco de las lineas de defensa.</v>
      </c>
      <c r="H25" s="18"/>
      <c r="I25" s="143">
        <f t="shared" si="1"/>
        <v>1</v>
      </c>
      <c r="J25" s="282"/>
    </row>
    <row r="26" spans="1:10" ht="45" x14ac:dyDescent="0.25">
      <c r="A26" s="1"/>
      <c r="B26" s="1"/>
      <c r="C26" s="141">
        <v>8</v>
      </c>
      <c r="D26" s="269"/>
      <c r="E26" s="127" t="str">
        <f>+IFERROR(INDEX(Hoja1!$E$2:$E$45,MATCH('Análisis Resultados'!C26,Hoja1!$H$2:$H$45,0)),"")</f>
        <v>Un manual de funciones que describa los empleos de la entidad</v>
      </c>
      <c r="F26" s="128" t="str">
        <f>+IFERROR(VLOOKUP(C26,Hoja1!$H$2:$I$45,2,0),"")</f>
        <v>Si</v>
      </c>
      <c r="G26" s="129" t="str">
        <f t="shared" si="0"/>
        <v>Existe requerimiento pero se requiere actividades  dirigidas a su mantenimiento dentro del marco de las lineas de defensa.</v>
      </c>
      <c r="H26" s="18"/>
      <c r="I26" s="143">
        <f t="shared" si="1"/>
        <v>1</v>
      </c>
      <c r="J26" s="282"/>
    </row>
    <row r="27" spans="1:10" ht="45" x14ac:dyDescent="0.25">
      <c r="A27" s="1"/>
      <c r="B27" s="1"/>
      <c r="C27" s="141">
        <v>9</v>
      </c>
      <c r="D27" s="269"/>
      <c r="E27" s="127" t="str">
        <f>+IFERROR(INDEX(Hoja1!$E$2:$E$45,MATCH('Análisis Resultados'!C27,Hoja1!$H$2:$H$45,0)),"")</f>
        <v>La documentación de sus procesos y procedimientos o bien una lista de actividades principales que permitan conocer el estado de su gestión</v>
      </c>
      <c r="F27" s="128" t="str">
        <f>+IFERROR(VLOOKUP(C27,Hoja1!$H$2:$I$45,2,0),"")</f>
        <v>Si</v>
      </c>
      <c r="G27" s="129" t="str">
        <f t="shared" si="0"/>
        <v>Existe requerimiento pero se requiere actividades  dirigidas a su mantenimiento dentro del marco de las lineas de defensa.</v>
      </c>
      <c r="H27" s="18"/>
      <c r="I27" s="143">
        <f t="shared" si="1"/>
        <v>1</v>
      </c>
      <c r="J27" s="282"/>
    </row>
    <row r="28" spans="1:10" ht="45" x14ac:dyDescent="0.25">
      <c r="A28" s="1"/>
      <c r="B28" s="1"/>
      <c r="C28" s="141">
        <v>10</v>
      </c>
      <c r="D28" s="269"/>
      <c r="E28" s="127" t="str">
        <f>+IFERROR(INDEX(Hoja1!$E$2:$E$45,MATCH('Análisis Resultados'!C28,Hoja1!$H$2:$H$45,0)),"")</f>
        <v>Vinculación de los servidores públicos de acuerdo con el marco normativo que les rige (carrera administrativa, libre nombramiento y remoción, entre otros)</v>
      </c>
      <c r="F28" s="128" t="str">
        <f>+IFERROR(VLOOKUP(C28,Hoja1!$H$2:$I$45,2,0),"")</f>
        <v>Si</v>
      </c>
      <c r="G28" s="129" t="str">
        <f t="shared" si="0"/>
        <v>Existe requerimiento pero se requiere actividades  dirigidas a su mantenimiento dentro del marco de las lineas de defensa.</v>
      </c>
      <c r="H28" s="18"/>
      <c r="I28" s="143">
        <f t="shared" si="1"/>
        <v>1</v>
      </c>
      <c r="J28" s="282"/>
    </row>
    <row r="29" spans="1:10" ht="45" x14ac:dyDescent="0.25">
      <c r="A29" s="1"/>
      <c r="B29" s="1"/>
      <c r="C29" s="141">
        <v>11</v>
      </c>
      <c r="D29" s="269"/>
      <c r="E29" s="127" t="str">
        <f>+IFERROR(INDEX(Hoja1!$E$2:$E$45,MATCH('Análisis Resultados'!C29,Hoja1!$H$2:$H$45,0)),"")</f>
        <v>Mecanismos de rendición de cuentas a la ciudadanía</v>
      </c>
      <c r="F29" s="128" t="str">
        <f>+IFERROR(VLOOKUP(C29,Hoja1!$H$2:$I$45,2,0),"")</f>
        <v>Si</v>
      </c>
      <c r="G29" s="129" t="str">
        <f>+IF(F29="Si","Existe requerimiento pero se requiere actividades  dirigidas a su mantenimiento dentro del marco de las lineas de defensa.",IF(F29="En proceso","Se encuentra en proceso, pero requiere continuar con acciones dirigidas a contar con dicho aspecto de control.","No se encuentra el aspecto  por lo tanto la entidad debera generar acciones dirigidas a que se cumpla con el requerimiento."))</f>
        <v>Existe requerimiento pero se requiere actividades  dirigidas a su mantenimiento dentro del marco de las lineas de defensa.</v>
      </c>
      <c r="H29" s="18"/>
      <c r="I29" s="143">
        <f t="shared" si="1"/>
        <v>1</v>
      </c>
      <c r="J29" s="282"/>
    </row>
    <row r="30" spans="1:10" ht="45.75" thickBot="1" x14ac:dyDescent="0.3">
      <c r="A30" s="1"/>
      <c r="B30" s="1"/>
      <c r="C30" s="141">
        <v>12</v>
      </c>
      <c r="D30" s="270"/>
      <c r="E30" s="130" t="str">
        <f>+IFERROR(INDEX(Hoja1!$E$2:$E$45,MATCH('Análisis Resultados'!C30,Hoja1!$H$2:$H$45,0)),"")</f>
        <v>Presentación oportuna de sus informes de gestión a las autoridades competentes</v>
      </c>
      <c r="F30" s="131" t="str">
        <f>+IFERROR(VLOOKUP(C30,Hoja1!$H$2:$I$45,2,0),"")</f>
        <v>Si</v>
      </c>
      <c r="G30" s="132" t="str">
        <f t="shared" si="0"/>
        <v>Existe requerimiento pero se requiere actividades  dirigidas a su mantenimiento dentro del marco de las lineas de defensa.</v>
      </c>
      <c r="H30" s="18"/>
      <c r="I30" s="144">
        <f t="shared" si="1"/>
        <v>1</v>
      </c>
      <c r="J30" s="283"/>
    </row>
    <row r="31" spans="1:10" ht="45" customHeight="1" x14ac:dyDescent="0.25">
      <c r="A31" s="1"/>
      <c r="B31" s="1"/>
      <c r="C31" s="141">
        <v>13</v>
      </c>
      <c r="D31" s="295" t="s">
        <v>61</v>
      </c>
      <c r="E31" s="124" t="str">
        <f>+IFERROR(INDEX(Hoja1!$E$2:$E$45,MATCH('Análisis Resultados'!C31,Hoja1!$H$2:$H$45,0)),"")</f>
        <v>La identificación de cambios en su entorno que pueden generar consecuencias negativas en su gestión</v>
      </c>
      <c r="F31" s="125" t="str">
        <f>+IFERROR(VLOOKUP(C31,Hoja1!$H$2:$I$45,2,0),"")</f>
        <v>No</v>
      </c>
      <c r="G31" s="126" t="str">
        <f t="shared" si="0"/>
        <v>No se encuentra el aspecto  por lo tanto la entidad debera generar acciones dirigidas a que se cumpla con el requerimiento.</v>
      </c>
      <c r="H31" s="18"/>
      <c r="I31" s="142">
        <f t="shared" si="1"/>
        <v>0</v>
      </c>
      <c r="J31" s="279">
        <f>+AVERAGE(I31:I40)</f>
        <v>0.2</v>
      </c>
    </row>
    <row r="32" spans="1:10" ht="57" customHeight="1" x14ac:dyDescent="0.25">
      <c r="A32" s="1"/>
      <c r="B32" s="1"/>
      <c r="C32" s="141">
        <v>14</v>
      </c>
      <c r="D32" s="296"/>
      <c r="E32" s="127" t="str">
        <f>+IFERROR(INDEX(Hoja1!$E$2:$E$45,MATCH('Análisis Resultados'!C32,Hoja1!$H$2:$H$45,0)),"")</f>
        <v>La identificación  de los riesgos relacionados con posibles actos de corrupción en el ejercicio de sus funciones</v>
      </c>
      <c r="F32" s="128" t="str">
        <f>+IFERROR(VLOOKUP(C32,Hoja1!$H$2:$I$45,2,0),"")</f>
        <v>No</v>
      </c>
      <c r="G32" s="129" t="str">
        <f t="shared" si="0"/>
        <v>No se encuentra el aspecto  por lo tanto la entidad debera generar acciones dirigidas a que se cumpla con el requerimiento.</v>
      </c>
      <c r="H32" s="18"/>
      <c r="I32" s="143">
        <f t="shared" si="1"/>
        <v>0</v>
      </c>
      <c r="J32" s="280"/>
    </row>
    <row r="33" spans="1:10" ht="54" customHeight="1" x14ac:dyDescent="0.25">
      <c r="A33" s="1"/>
      <c r="B33" s="1"/>
      <c r="C33" s="141">
        <v>15</v>
      </c>
      <c r="D33" s="296"/>
      <c r="E33" s="127" t="str">
        <f>+IFERROR(INDEX(Hoja1!$E$2:$E$45,MATCH('Análisis Resultados'!C33,Hoja1!$H$2:$H$45,0)),"")</f>
        <v>Si su capacidad e infraestructura lo permite, identificación de riesgos asociados a las tecnologías de la información y las comunicaciones</v>
      </c>
      <c r="F33" s="128" t="str">
        <f>+IFERROR(VLOOKUP(C33,Hoja1!$H$2:$I$45,2,0),"")</f>
        <v>No</v>
      </c>
      <c r="G33" s="129" t="str">
        <f t="shared" si="0"/>
        <v>No se encuentra el aspecto  por lo tanto la entidad debera generar acciones dirigidas a que se cumpla con el requerimiento.</v>
      </c>
      <c r="H33" s="18"/>
      <c r="I33" s="143">
        <f t="shared" si="1"/>
        <v>0</v>
      </c>
      <c r="J33" s="280"/>
    </row>
    <row r="34" spans="1:10" ht="45" x14ac:dyDescent="0.25">
      <c r="A34" s="1"/>
      <c r="B34" s="1"/>
      <c r="C34" s="141">
        <v>16</v>
      </c>
      <c r="D34" s="296"/>
      <c r="E34" s="127" t="str">
        <f>+IFERROR(INDEX(Hoja1!$E$2:$E$45,MATCH('Análisis Resultados'!C34,Hoja1!$H$2:$H$45,0)),"")</f>
        <v>Hacen seguimiento a los problemas (riesgos)  que pueden afectar el cumplimiento de sus procesos, programas o proyectos a cargo</v>
      </c>
      <c r="F34" s="128" t="str">
        <f>+IFERROR(VLOOKUP(C34,Hoja1!$H$2:$I$45,2,0),"")</f>
        <v>No</v>
      </c>
      <c r="G34" s="129" t="str">
        <f t="shared" si="0"/>
        <v>No se encuentra el aspecto  por lo tanto la entidad debera generar acciones dirigidas a que se cumpla con el requerimiento.</v>
      </c>
      <c r="H34" s="18"/>
      <c r="I34" s="143">
        <f t="shared" si="1"/>
        <v>0</v>
      </c>
      <c r="J34" s="280"/>
    </row>
    <row r="35" spans="1:10" ht="67.5" customHeight="1" x14ac:dyDescent="0.25">
      <c r="A35" s="1"/>
      <c r="B35" s="1"/>
      <c r="C35" s="141">
        <v>17</v>
      </c>
      <c r="D35" s="296"/>
      <c r="E35" s="127" t="str">
        <f>+IFERROR(INDEX(Hoja1!$E$2:$E$45,MATCH('Análisis Resultados'!C35,Hoja1!$H$2:$H$45,0)),"")</f>
        <v>Informan de manera periódica a quien corresponda sobre el desempeño de las actividades de gestión de riesgos</v>
      </c>
      <c r="F35" s="128" t="str">
        <f>+IFERROR(VLOOKUP(C35,Hoja1!$H$2:$I$45,2,0),"")</f>
        <v>No</v>
      </c>
      <c r="G35" s="129" t="str">
        <f t="shared" si="0"/>
        <v>No se encuentra el aspecto  por lo tanto la entidad debera generar acciones dirigidas a que se cumpla con el requerimiento.</v>
      </c>
      <c r="H35" s="18"/>
      <c r="I35" s="143">
        <f t="shared" si="1"/>
        <v>0</v>
      </c>
      <c r="J35" s="280"/>
    </row>
    <row r="36" spans="1:10" ht="45" x14ac:dyDescent="0.25">
      <c r="A36" s="1"/>
      <c r="B36" s="1"/>
      <c r="C36" s="141">
        <v>18</v>
      </c>
      <c r="D36" s="296"/>
      <c r="E36" s="127" t="str">
        <f>+IFERROR(INDEX(Hoja1!$E$2:$E$45,MATCH('Análisis Resultados'!C36,Hoja1!$H$2:$H$45,0)),"")</f>
        <v>Identifican deficiencias en las maneras de  controlar los riesgos o problemas en sus procesos, programas o proyectos, y propone los ajustes necesarios</v>
      </c>
      <c r="F36" s="128" t="str">
        <f>+IFERROR(VLOOKUP(C36,Hoja1!$H$2:$I$45,2,0),"")</f>
        <v>No</v>
      </c>
      <c r="G36" s="129" t="str">
        <f t="shared" si="0"/>
        <v>No se encuentra el aspecto  por lo tanto la entidad debera generar acciones dirigidas a que se cumpla con el requerimiento.</v>
      </c>
      <c r="H36" s="18"/>
      <c r="I36" s="143">
        <f t="shared" si="1"/>
        <v>0</v>
      </c>
      <c r="J36" s="280"/>
    </row>
    <row r="37" spans="1:10" ht="57" customHeight="1" x14ac:dyDescent="0.25">
      <c r="A37" s="1"/>
      <c r="B37" s="1"/>
      <c r="C37" s="141">
        <v>19</v>
      </c>
      <c r="D37" s="296"/>
      <c r="E37" s="127" t="str">
        <f>+IFERROR(INDEX(Hoja1!$E$2:$E$45,MATCH('Análisis Resultados'!C37,Hoja1!$H$2:$H$45,0)),"")</f>
        <v>Solamente hasta que un organismo de control actúa se definen acciones de mejora.</v>
      </c>
      <c r="F37" s="128" t="str">
        <f>+IFERROR(VLOOKUP(C37,Hoja1!$H$2:$I$45,2,0),"")</f>
        <v>No</v>
      </c>
      <c r="G37" s="129" t="str">
        <f t="shared" si="0"/>
        <v>No se encuentra el aspecto  por lo tanto la entidad debera generar acciones dirigidas a que se cumpla con el requerimiento.</v>
      </c>
      <c r="H37" s="18"/>
      <c r="I37" s="143">
        <f t="shared" si="1"/>
        <v>0</v>
      </c>
      <c r="J37" s="280"/>
    </row>
    <row r="38" spans="1:10" ht="33.75" x14ac:dyDescent="0.25">
      <c r="A38" s="1"/>
      <c r="B38" s="1"/>
      <c r="C38" s="141">
        <v>20</v>
      </c>
      <c r="D38" s="296"/>
      <c r="E38" s="127" t="str">
        <f>+IFERROR(INDEX(Hoja1!$E$2:$E$45,MATCH('Análisis Resultados'!C38,Hoja1!$H$2:$H$45,0)),"")</f>
        <v>Se definen espacios de reunión para conocerlos y proponer acciones para su solución</v>
      </c>
      <c r="F38" s="128" t="str">
        <f>+IFERROR(VLOOKUP(C38,Hoja1!$H$2:$I$45,2,0),"")</f>
        <v>En proceso</v>
      </c>
      <c r="G38" s="129" t="str">
        <f t="shared" si="0"/>
        <v>Se encuentra en proceso, pero requiere continuar con acciones dirigidas a contar con dicho aspecto de control.</v>
      </c>
      <c r="H38" s="18"/>
      <c r="I38" s="143">
        <f t="shared" si="1"/>
        <v>0.5</v>
      </c>
      <c r="J38" s="280"/>
    </row>
    <row r="39" spans="1:10" ht="33.75" x14ac:dyDescent="0.25">
      <c r="A39" s="1"/>
      <c r="B39" s="1"/>
      <c r="C39" s="141">
        <v>21</v>
      </c>
      <c r="D39" s="296"/>
      <c r="E39" s="127" t="str">
        <f>+IFERROR(INDEX(Hoja1!$E$2:$E$45,MATCH('Análisis Resultados'!C39,Hoja1!$H$2:$H$45,0)),"")</f>
        <v>Cada líder del equipo autónomamente toma las acciones para solucionarlos.</v>
      </c>
      <c r="F39" s="128" t="str">
        <f>+IFERROR(VLOOKUP(C39,Hoja1!$H$2:$I$45,2,0),"")</f>
        <v>En proceso</v>
      </c>
      <c r="G39" s="129" t="str">
        <f t="shared" si="0"/>
        <v>Se encuentra en proceso, pero requiere continuar con acciones dirigidas a contar con dicho aspecto de control.</v>
      </c>
      <c r="H39" s="18"/>
      <c r="I39" s="143">
        <f t="shared" si="1"/>
        <v>0.5</v>
      </c>
      <c r="J39" s="280"/>
    </row>
    <row r="40" spans="1:10" ht="45.75" thickBot="1" x14ac:dyDescent="0.3">
      <c r="A40" s="1"/>
      <c r="B40" s="1"/>
      <c r="C40" s="141">
        <v>22</v>
      </c>
      <c r="D40" s="296"/>
      <c r="E40" s="133" t="str">
        <f>+IFERROR(INDEX(Hoja1!$E$2:$E$45,MATCH('Análisis Resultados'!C40,Hoja1!$H$2:$H$45,0)),"")</f>
        <v>La identificación de aquellos problemas o aspectos que pueden afectar el cumplimiento de los planes de la entidad y en general su gestión institucional (riesgos)</v>
      </c>
      <c r="F40" s="134" t="str">
        <f>+IFERROR(VLOOKUP(C40,Hoja1!$H$2:$I$45,2,0),"")</f>
        <v>Si</v>
      </c>
      <c r="G40" s="135" t="str">
        <f t="shared" si="0"/>
        <v>Existe requerimiento pero se requiere actividades  dirigidas a su mantenimiento dentro del marco de las lineas de defensa.</v>
      </c>
      <c r="H40" s="18"/>
      <c r="I40" s="145">
        <f t="shared" si="1"/>
        <v>1</v>
      </c>
      <c r="J40" s="280"/>
    </row>
    <row r="41" spans="1:10" ht="87.75" customHeight="1" x14ac:dyDescent="0.25">
      <c r="A41" s="1"/>
      <c r="B41" s="1"/>
      <c r="C41" s="141">
        <v>23</v>
      </c>
      <c r="D41" s="291" t="s">
        <v>79</v>
      </c>
      <c r="E41" s="124" t="str">
        <f>+IFERROR(INDEX(Hoja1!$E$2:$E$45,MATCH('Análisis Resultados'!C41,Hoja1!$H$2:$H$45,0)),"")</f>
        <v>Un documento que consolide  los riesgos  y el tratamiento que se les da, incluyendo aquellos que conllevan posibles actos de corrupción y si la capacidad e infraestructura lo permite, los asociados con las tecnologías de la información y las comunicaciones</v>
      </c>
      <c r="F41" s="125" t="str">
        <f>+IFERROR(VLOOKUP(C41,Hoja1!$H$2:$I$45,2,0),"")</f>
        <v>No</v>
      </c>
      <c r="G41" s="126" t="str">
        <f t="shared" si="0"/>
        <v>No se encuentra el aspecto  por lo tanto la entidad debera generar acciones dirigidas a que se cumpla con el requerimiento.</v>
      </c>
      <c r="H41" s="18"/>
      <c r="I41" s="142">
        <f t="shared" si="1"/>
        <v>0</v>
      </c>
      <c r="J41" s="279">
        <f>+AVERAGE(I41:I45)</f>
        <v>0.7</v>
      </c>
    </row>
    <row r="42" spans="1:10" ht="42.75" x14ac:dyDescent="0.25">
      <c r="A42" s="1"/>
      <c r="B42" s="1"/>
      <c r="C42" s="141">
        <v>24</v>
      </c>
      <c r="D42" s="292"/>
      <c r="E42" s="127" t="str">
        <f>+IFERROR(INDEX(Hoja1!$E$2:$E$45,MATCH('Análisis Resultados'!C42,Hoja1!$H$2:$H$45,0)),"")</f>
        <v>Planes, acciones o estrategias que permitan subsanar las consecuencias de la materialización de los riesgos, cuando se presentan</v>
      </c>
      <c r="F42" s="128" t="str">
        <f>+IFERROR(VLOOKUP(C42,Hoja1!$H$2:$I$45,2,0),"")</f>
        <v>En proceso</v>
      </c>
      <c r="G42" s="129" t="str">
        <f t="shared" si="0"/>
        <v>Se encuentra en proceso, pero requiere continuar con acciones dirigidas a contar con dicho aspecto de control.</v>
      </c>
      <c r="H42" s="18"/>
      <c r="I42" s="143">
        <f t="shared" si="1"/>
        <v>0.5</v>
      </c>
      <c r="J42" s="280"/>
    </row>
    <row r="43" spans="1:10" ht="85.5" customHeight="1" x14ac:dyDescent="0.25">
      <c r="A43" s="1"/>
      <c r="B43" s="1"/>
      <c r="C43" s="141">
        <v>25</v>
      </c>
      <c r="D43" s="292"/>
      <c r="E43" s="127" t="str">
        <f>+IFERROR(INDEX(Hoja1!$E$2:$E$45,MATCH('Análisis Resultados'!C43,Hoja1!$H$2:$H$45,0)),"")</f>
        <v>La definición de acciones o actividades para para dar tratamiento a los problemas identificados (mitigación de riesgos), incluyendo aquellos asociados a posibles actos de corrupción</v>
      </c>
      <c r="F43" s="128" t="str">
        <f>+IFERROR(VLOOKUP(C43,Hoja1!$H$2:$I$45,2,0),"")</f>
        <v>Si</v>
      </c>
      <c r="G43" s="129" t="str">
        <f t="shared" si="0"/>
        <v>Existe requerimiento pero se requiere actividades  dirigidas a su mantenimiento dentro del marco de las lineas de defensa.</v>
      </c>
      <c r="H43" s="18"/>
      <c r="I43" s="143">
        <f t="shared" si="1"/>
        <v>1</v>
      </c>
      <c r="J43" s="280"/>
    </row>
    <row r="44" spans="1:10" ht="57" customHeight="1" x14ac:dyDescent="0.25">
      <c r="A44" s="1"/>
      <c r="B44" s="1"/>
      <c r="C44" s="141">
        <v>26</v>
      </c>
      <c r="D44" s="292"/>
      <c r="E44" s="127" t="str">
        <f>+IFERROR(INDEX(Hoja1!$E$2:$E$45,MATCH('Análisis Resultados'!C44,Hoja1!$H$2:$H$45,0)),"")</f>
        <v>Mecanismos de verificación de si se están o no mitigando los riesgos, o en su defecto, elaboración de planes de contingencia para subsanar sus consecuencias</v>
      </c>
      <c r="F44" s="128" t="str">
        <f>+IFERROR(VLOOKUP(C44,Hoja1!$H$2:$I$45,2,0),"")</f>
        <v>Si</v>
      </c>
      <c r="G44" s="129" t="str">
        <f t="shared" si="0"/>
        <v>Existe requerimiento pero se requiere actividades  dirigidas a su mantenimiento dentro del marco de las lineas de defensa.</v>
      </c>
      <c r="H44" s="18"/>
      <c r="I44" s="143">
        <f t="shared" si="1"/>
        <v>1</v>
      </c>
      <c r="J44" s="280"/>
    </row>
    <row r="45" spans="1:10" ht="57" customHeight="1" thickBot="1" x14ac:dyDescent="0.3">
      <c r="A45" s="1"/>
      <c r="B45" s="1"/>
      <c r="C45" s="141">
        <v>27</v>
      </c>
      <c r="D45" s="293"/>
      <c r="E45" s="130" t="str">
        <f>+IFERROR(INDEX(Hoja1!$E$2:$E$45,MATCH('Análisis Resultados'!C45,Hoja1!$H$2:$H$45,0)),"")</f>
        <v>Un plan anticorrupción y de servicio al ciudadano con los temas que le aplican, publicado en algún medio para conocimiento de la ciudadanía</v>
      </c>
      <c r="F45" s="131" t="str">
        <f>+IFERROR(VLOOKUP(C45,Hoja1!$H$2:$I$45,2,0),"")</f>
        <v>Si</v>
      </c>
      <c r="G45" s="132" t="str">
        <f t="shared" si="0"/>
        <v>Existe requerimiento pero se requiere actividades  dirigidas a su mantenimiento dentro del marco de las lineas de defensa.</v>
      </c>
      <c r="H45" s="18"/>
      <c r="I45" s="144">
        <f t="shared" si="1"/>
        <v>1</v>
      </c>
      <c r="J45" s="294"/>
    </row>
    <row r="46" spans="1:10" ht="63.75" customHeight="1" x14ac:dyDescent="0.25">
      <c r="A46" s="1"/>
      <c r="B46" s="1"/>
      <c r="C46" s="141">
        <v>28</v>
      </c>
      <c r="D46" s="290" t="s">
        <v>87</v>
      </c>
      <c r="E46" s="136" t="str">
        <f>+IFERROR(INDEX(Hoja1!$E$2:$E$45,MATCH('Análisis Resultados'!C46,Hoja1!$H$2:$H$45,0)),"")</f>
        <v xml:space="preserve">Lineamientos para dar tratamiento a la información de carácter reservado </v>
      </c>
      <c r="F46" s="137" t="str">
        <f>+IFERROR(VLOOKUP(C46,Hoja1!$H$2:$I$45,2,0),"")</f>
        <v>No</v>
      </c>
      <c r="G46" s="138" t="str">
        <f t="shared" si="0"/>
        <v>No se encuentra el aspecto  por lo tanto la entidad debera generar acciones dirigidas a que se cumpla con el requerimiento.</v>
      </c>
      <c r="H46" s="18"/>
      <c r="I46" s="146">
        <f t="shared" si="1"/>
        <v>0</v>
      </c>
      <c r="J46" s="280">
        <f>+AVERAGE(I46:I52)</f>
        <v>0.5714285714285714</v>
      </c>
    </row>
    <row r="47" spans="1:10" ht="92.25" customHeight="1" x14ac:dyDescent="0.25">
      <c r="A47" s="1"/>
      <c r="B47" s="1"/>
      <c r="C47" s="141">
        <v>29</v>
      </c>
      <c r="D47" s="290"/>
      <c r="E47" s="127" t="str">
        <f>+IFERROR(INDEX(Hoja1!$E$2:$E$45,MATCH('Análisis Resultados'!C47,Hoja1!$H$2:$H$45,0)),"")</f>
        <v>Identificación de información necesaria para la operación de la entidad (normograma, presupuesto, talento humano, infraestructura física y tecnológica)</v>
      </c>
      <c r="F47" s="128" t="str">
        <f>+IFERROR(VLOOKUP(C47,Hoja1!$H$2:$I$45,2,0),"")</f>
        <v>No</v>
      </c>
      <c r="G47" s="139" t="str">
        <f t="shared" si="0"/>
        <v>No se encuentra el aspecto  por lo tanto la entidad debera generar acciones dirigidas a que se cumpla con el requerimiento.</v>
      </c>
      <c r="H47" s="18"/>
      <c r="I47" s="147">
        <f t="shared" si="1"/>
        <v>0</v>
      </c>
      <c r="J47" s="280"/>
    </row>
    <row r="48" spans="1:10" ht="66.75" customHeight="1" x14ac:dyDescent="0.25">
      <c r="A48" s="1"/>
      <c r="B48" s="1"/>
      <c r="C48" s="141">
        <v>30</v>
      </c>
      <c r="D48" s="290"/>
      <c r="E48" s="127" t="str">
        <f>+IFERROR(INDEX(Hoja1!$E$2:$E$45,MATCH('Análisis Resultados'!C48,Hoja1!$H$2:$H$45,0)),"")</f>
        <v>Si su capacidad e infraestructura lo permite, tecnologías de la información y las comunicaciones que soporten estos procesos</v>
      </c>
      <c r="F48" s="128" t="str">
        <f>+IFERROR(VLOOKUP(C48,Hoja1!$H$2:$I$45,2,0),"")</f>
        <v>No</v>
      </c>
      <c r="G48" s="139" t="str">
        <f t="shared" si="0"/>
        <v>No se encuentra el aspecto  por lo tanto la entidad debera generar acciones dirigidas a que se cumpla con el requerimiento.</v>
      </c>
      <c r="H48" s="18"/>
      <c r="I48" s="147">
        <f t="shared" si="1"/>
        <v>0</v>
      </c>
      <c r="J48" s="280"/>
    </row>
    <row r="49" spans="1:10" ht="60" customHeight="1" x14ac:dyDescent="0.25">
      <c r="A49" s="1"/>
      <c r="B49" s="1"/>
      <c r="C49" s="141">
        <v>31</v>
      </c>
      <c r="D49" s="290"/>
      <c r="E49" s="127" t="str">
        <f>+IFERROR(INDEX(Hoja1!$E$2:$E$45,MATCH('Análisis Resultados'!C49,Hoja1!$H$2:$H$45,0)),"")</f>
        <v>Responsables de la información institucional</v>
      </c>
      <c r="F49" s="128" t="str">
        <f>+IFERROR(VLOOKUP(C49,Hoja1!$H$2:$I$45,2,0),"")</f>
        <v>Si</v>
      </c>
      <c r="G49" s="139" t="str">
        <f t="shared" si="0"/>
        <v>Existe requerimiento pero se requiere actividades  dirigidas a su mantenimiento dentro del marco de las lineas de defensa.</v>
      </c>
      <c r="H49" s="18"/>
      <c r="I49" s="147">
        <f t="shared" si="1"/>
        <v>1</v>
      </c>
      <c r="J49" s="280"/>
    </row>
    <row r="50" spans="1:10" ht="57" customHeight="1" x14ac:dyDescent="0.25">
      <c r="A50" s="1"/>
      <c r="B50" s="1"/>
      <c r="C50" s="141">
        <v>32</v>
      </c>
      <c r="D50" s="290"/>
      <c r="E50" s="127" t="str">
        <f>+IFERROR(INDEX(Hoja1!$E$2:$E$45,MATCH('Análisis Resultados'!C50,Hoja1!$H$2:$H$45,0)),"")</f>
        <v>Canales de comunicación con los ciudadanos</v>
      </c>
      <c r="F50" s="128" t="str">
        <f>+IFERROR(VLOOKUP(C50,Hoja1!$H$2:$I$45,2,0),"")</f>
        <v>Si</v>
      </c>
      <c r="G50" s="139" t="str">
        <f t="shared" si="0"/>
        <v>Existe requerimiento pero se requiere actividades  dirigidas a su mantenimiento dentro del marco de las lineas de defensa.</v>
      </c>
      <c r="H50" s="18"/>
      <c r="I50" s="147">
        <f t="shared" si="1"/>
        <v>1</v>
      </c>
      <c r="J50" s="280"/>
    </row>
    <row r="51" spans="1:10" ht="57" customHeight="1" x14ac:dyDescent="0.25">
      <c r="A51" s="1"/>
      <c r="B51" s="1"/>
      <c r="C51" s="141">
        <v>33</v>
      </c>
      <c r="D51" s="290"/>
      <c r="E51" s="127" t="str">
        <f>+IFERROR(INDEX(Hoja1!$E$2:$E$45,MATCH('Análisis Resultados'!C51,Hoja1!$H$2:$H$45,0)),"")</f>
        <v>Canales de comunicación o mecanismos de reporte de información a otros organismos gubernamentales o de control</v>
      </c>
      <c r="F51" s="128" t="str">
        <f>+IFERROR(VLOOKUP(C51,Hoja1!$H$2:$I$45,2,0),"")</f>
        <v>Si</v>
      </c>
      <c r="G51" s="139" t="str">
        <f t="shared" si="0"/>
        <v>Existe requerimiento pero se requiere actividades  dirigidas a su mantenimiento dentro del marco de las lineas de defensa.</v>
      </c>
      <c r="H51" s="18"/>
      <c r="I51" s="147">
        <f t="shared" si="1"/>
        <v>1</v>
      </c>
      <c r="J51" s="280"/>
    </row>
    <row r="52" spans="1:10" ht="45.75" thickBot="1" x14ac:dyDescent="0.3">
      <c r="A52" s="1"/>
      <c r="B52" s="1"/>
      <c r="C52" s="141">
        <v>34</v>
      </c>
      <c r="D52" s="290"/>
      <c r="E52" s="133" t="str">
        <f>+IFERROR(INDEX(Hoja1!$E$2:$E$45,MATCH('Análisis Resultados'!C52,Hoja1!$H$2:$H$45,0)),"")</f>
        <v>Identificación de información que produce en el marco de su gestión (Para los ciudadanos, organismos de control, organismos gubernamentales, entre otros)</v>
      </c>
      <c r="F52" s="134" t="str">
        <f>+IFERROR(VLOOKUP(C52,Hoja1!$H$2:$I$45,2,0),"")</f>
        <v>Si</v>
      </c>
      <c r="G52" s="140" t="str">
        <f t="shared" si="0"/>
        <v>Existe requerimiento pero se requiere actividades  dirigidas a su mantenimiento dentro del marco de las lineas de defensa.</v>
      </c>
      <c r="H52" s="18"/>
      <c r="I52" s="148">
        <f t="shared" si="1"/>
        <v>1</v>
      </c>
      <c r="J52" s="280"/>
    </row>
    <row r="53" spans="1:10" ht="41.25" customHeight="1" x14ac:dyDescent="0.25">
      <c r="A53" s="1"/>
      <c r="B53" s="1"/>
      <c r="C53" s="141">
        <v>35</v>
      </c>
      <c r="D53" s="284" t="s">
        <v>97</v>
      </c>
      <c r="E53" s="124" t="str">
        <f>+IFERROR(INDEX(Hoja1!$E$2:$E$45,MATCH('Análisis Resultados'!C53,Hoja1!$H$2:$H$45,0)),"")</f>
        <v>Medidas correctivas en caso de detectarse deficiencias en los ejercicios de evaluación, seguimiento o auditoría</v>
      </c>
      <c r="F53" s="125" t="str">
        <f>+IFERROR(VLOOKUP(C53,Hoja1!$H$2:$I$45,2,0),"")</f>
        <v>No</v>
      </c>
      <c r="G53" s="126" t="str">
        <f t="shared" si="0"/>
        <v>No se encuentra el aspecto  por lo tanto la entidad debera generar acciones dirigidas a que se cumpla con el requerimiento.</v>
      </c>
      <c r="H53" s="18"/>
      <c r="I53" s="142">
        <f t="shared" si="1"/>
        <v>0</v>
      </c>
      <c r="J53" s="287">
        <f>+AVERAGE(I53:I62)</f>
        <v>0.55000000000000004</v>
      </c>
    </row>
    <row r="54" spans="1:10" ht="58.5" customHeight="1" x14ac:dyDescent="0.25">
      <c r="A54" s="1"/>
      <c r="B54" s="1"/>
      <c r="C54" s="141">
        <v>36</v>
      </c>
      <c r="D54" s="285"/>
      <c r="E54" s="127" t="str">
        <f>+IFERROR(INDEX(Hoja1!$E$2:$E$45,MATCH('Análisis Resultados'!C54,Hoja1!$H$2:$H$45,0)),"")</f>
        <v>Seguimiento a los planes de mejoramiento suscritos con instancias de control internas o externas</v>
      </c>
      <c r="F54" s="128" t="str">
        <f>+IFERROR(VLOOKUP(C54,Hoja1!$H$2:$I$45,2,0),"")</f>
        <v>No</v>
      </c>
      <c r="G54" s="129" t="str">
        <f t="shared" si="0"/>
        <v>No se encuentra el aspecto  por lo tanto la entidad debera generar acciones dirigidas a que se cumpla con el requerimiento.</v>
      </c>
      <c r="H54" s="18"/>
      <c r="I54" s="143">
        <f t="shared" si="1"/>
        <v>0</v>
      </c>
      <c r="J54" s="288"/>
    </row>
    <row r="55" spans="1:10" s="1" customFormat="1" ht="84.75" customHeight="1" x14ac:dyDescent="0.25">
      <c r="C55" s="141">
        <v>37</v>
      </c>
      <c r="D55" s="285"/>
      <c r="E55" s="127" t="str">
        <f>+IFERROR(INDEX(Hoja1!$E$2:$E$45,MATCH('Análisis Resultados'!C55,Hoja1!$H$2:$H$45,0)),"")</f>
        <v>Evitar que los problemas (riesgos) obstaculicen el cumplimiento de los objetivos.</v>
      </c>
      <c r="F55" s="128" t="str">
        <f>+IFERROR(VLOOKUP(C55,Hoja1!$H$2:$I$45,2,0),"")</f>
        <v>No</v>
      </c>
      <c r="G55" s="129" t="str">
        <f t="shared" si="0"/>
        <v>No se encuentra el aspecto  por lo tanto la entidad debera generar acciones dirigidas a que se cumpla con el requerimiento.</v>
      </c>
      <c r="H55" s="6"/>
      <c r="I55" s="143">
        <f t="shared" si="1"/>
        <v>0</v>
      </c>
      <c r="J55" s="288"/>
    </row>
    <row r="56" spans="1:10" s="1" customFormat="1" ht="78.75" customHeight="1" x14ac:dyDescent="0.25">
      <c r="C56" s="141">
        <v>38</v>
      </c>
      <c r="D56" s="285"/>
      <c r="E56" s="127" t="str">
        <f>+IFERROR(INDEX(Hoja1!$E$2:$E$45,MATCH('Análisis Resultados'!C56,Hoja1!$H$2:$H$45,0)),"")</f>
        <v>Mecanismos de evaluación de la gestión (cronogramas, indicadores, listas de chequeo u otros)</v>
      </c>
      <c r="F56" s="128" t="str">
        <f>+IFERROR(VLOOKUP(C56,Hoja1!$H$2:$I$45,2,0),"")</f>
        <v>En proceso</v>
      </c>
      <c r="G56" s="129" t="str">
        <f t="shared" si="0"/>
        <v>Se encuentra en proceso, pero requiere continuar con acciones dirigidas a contar con dicho aspecto de control.</v>
      </c>
      <c r="H56" s="6"/>
      <c r="I56" s="143">
        <f t="shared" si="1"/>
        <v>0.5</v>
      </c>
      <c r="J56" s="288"/>
    </row>
    <row r="57" spans="1:10" s="1" customFormat="1" ht="54.75" customHeight="1" x14ac:dyDescent="0.25">
      <c r="C57" s="141">
        <v>39</v>
      </c>
      <c r="D57" s="285"/>
      <c r="E57" s="127" t="str">
        <f>+IFERROR(INDEX(Hoja1!$E$2:$E$45,MATCH('Análisis Resultados'!C57,Hoja1!$H$2:$H$45,0)),"")</f>
        <v>Algún mecanismo para monitorear o supervisar el sistema de control interno institucional, ya sea por parte del representante legal, o del área de control interno (si la entidad cuenta con ella), o bien a través del Comité departamental o municipal de Auditoría.</v>
      </c>
      <c r="F57" s="128" t="str">
        <f>+IFERROR(VLOOKUP(C57,Hoja1!$H$2:$I$45,2,0),"")</f>
        <v>En proceso</v>
      </c>
      <c r="G57" s="129" t="str">
        <f t="shared" si="0"/>
        <v>Se encuentra en proceso, pero requiere continuar con acciones dirigidas a contar con dicho aspecto de control.</v>
      </c>
      <c r="H57" s="6"/>
      <c r="I57" s="143">
        <f t="shared" si="1"/>
        <v>0.5</v>
      </c>
      <c r="J57" s="288"/>
    </row>
    <row r="58" spans="1:10" s="1" customFormat="1" ht="68.25" customHeight="1" x14ac:dyDescent="0.25">
      <c r="C58" s="141">
        <v>40</v>
      </c>
      <c r="D58" s="285"/>
      <c r="E58" s="127" t="str">
        <f>+IFERROR(INDEX(Hoja1!$E$2:$E$45,MATCH('Análisis Resultados'!C58,Hoja1!$H$2:$H$45,0)),"")</f>
        <v>Ejecutar las acciones de acuerdo a como se diseñaron previamente.</v>
      </c>
      <c r="F58" s="128" t="str">
        <f>+IFERROR(VLOOKUP(C58,Hoja1!$H$2:$I$45,2,0),"")</f>
        <v>En proceso</v>
      </c>
      <c r="G58" s="129" t="str">
        <f t="shared" si="0"/>
        <v>Se encuentra en proceso, pero requiere continuar con acciones dirigidas a contar con dicho aspecto de control.</v>
      </c>
      <c r="H58" s="6"/>
      <c r="I58" s="143">
        <f t="shared" si="1"/>
        <v>0.5</v>
      </c>
      <c r="J58" s="288"/>
    </row>
    <row r="59" spans="1:10" s="1" customFormat="1" ht="45" customHeight="1" x14ac:dyDescent="0.25">
      <c r="C59" s="141">
        <v>41</v>
      </c>
      <c r="D59" s="285"/>
      <c r="E59" s="127" t="str">
        <f>+IFERROR(INDEX(Hoja1!$E$2:$E$45,MATCH('Análisis Resultados'!C59,Hoja1!$H$2:$H$45,0)),"")</f>
        <v>La entidad participa en el  Comité Municipal de Auditoría?</v>
      </c>
      <c r="F59" s="128" t="str">
        <f>+IFERROR(VLOOKUP(C59,Hoja1!$H$2:$I$45,2,0),"")</f>
        <v>Si</v>
      </c>
      <c r="G59" s="129" t="str">
        <f t="shared" si="0"/>
        <v>Existe requerimiento pero se requiere actividades  dirigidas a su mantenimiento dentro del marco de las lineas de defensa.</v>
      </c>
      <c r="H59" s="6"/>
      <c r="I59" s="143">
        <f t="shared" si="1"/>
        <v>1</v>
      </c>
      <c r="J59" s="288"/>
    </row>
    <row r="60" spans="1:10" s="1" customFormat="1" ht="51.75" customHeight="1" x14ac:dyDescent="0.25">
      <c r="C60" s="141">
        <v>42</v>
      </c>
      <c r="D60" s="285"/>
      <c r="E60" s="127" t="str">
        <f>+IFERROR(INDEX(Hoja1!$E$2:$E$45,MATCH('Análisis Resultados'!C60,Hoja1!$H$2:$H$45,0)),"")</f>
        <v>Controlar los puntos críticos en los procesos.</v>
      </c>
      <c r="F60" s="128" t="str">
        <f>+IFERROR(VLOOKUP(C60,Hoja1!$H$2:$I$45,2,0),"")</f>
        <v>Si</v>
      </c>
      <c r="G60" s="129" t="str">
        <f t="shared" si="0"/>
        <v>Existe requerimiento pero se requiere actividades  dirigidas a su mantenimiento dentro del marco de las lineas de defensa.</v>
      </c>
      <c r="H60" s="6"/>
      <c r="I60" s="143">
        <f t="shared" si="1"/>
        <v>1</v>
      </c>
      <c r="J60" s="288"/>
    </row>
    <row r="61" spans="1:10" s="1" customFormat="1" ht="84" customHeight="1" x14ac:dyDescent="0.25">
      <c r="C61" s="141">
        <v>43</v>
      </c>
      <c r="D61" s="285"/>
      <c r="E61" s="127" t="str">
        <f>+IFERROR(INDEX(Hoja1!$E$2:$E$45,MATCH('Análisis Resultados'!C61,Hoja1!$H$2:$H$45,0)),"")</f>
        <v>Diseñar acciones adecuadas para controlar los problemas que afectan el cumplimiento de las metas y objetivos institucionales (riesgos).</v>
      </c>
      <c r="F61" s="128" t="str">
        <f>+IFERROR(VLOOKUP(C61,Hoja1!$H$2:$I$45,2,0),"")</f>
        <v>Si</v>
      </c>
      <c r="G61" s="129" t="str">
        <f t="shared" si="0"/>
        <v>Existe requerimiento pero se requiere actividades  dirigidas a su mantenimiento dentro del marco de las lineas de defensa.</v>
      </c>
      <c r="H61" s="6"/>
      <c r="I61" s="143">
        <f t="shared" si="1"/>
        <v>1</v>
      </c>
      <c r="J61" s="288"/>
    </row>
    <row r="62" spans="1:10" s="1" customFormat="1" ht="60" customHeight="1" thickBot="1" x14ac:dyDescent="0.3">
      <c r="C62" s="141">
        <v>44</v>
      </c>
      <c r="D62" s="286"/>
      <c r="E62" s="130" t="str">
        <f>+IFERROR(INDEX(Hoja1!$E$2:$E$45,MATCH('Análisis Resultados'!C62,Hoja1!$H$2:$H$45,0)),"")</f>
        <v>No se gestionan los problemas que afectan el cumplimiento de las funciones y objetivos institucionales(riesgos).</v>
      </c>
      <c r="F62" s="131" t="str">
        <f>+IFERROR(VLOOKUP(C62,Hoja1!$H$2:$I$45,2,0),"")</f>
        <v>Si</v>
      </c>
      <c r="G62" s="132" t="str">
        <f t="shared" si="0"/>
        <v>Existe requerimiento pero se requiere actividades  dirigidas a su mantenimiento dentro del marco de las lineas de defensa.</v>
      </c>
      <c r="H62" s="6"/>
      <c r="I62" s="144">
        <f t="shared" si="1"/>
        <v>1</v>
      </c>
      <c r="J62" s="289"/>
    </row>
    <row r="63" spans="1:10" s="1" customFormat="1" x14ac:dyDescent="0.25">
      <c r="H63" s="6"/>
    </row>
    <row r="64" spans="1:10" s="1" customFormat="1" x14ac:dyDescent="0.25">
      <c r="H64" s="6"/>
    </row>
    <row r="65" spans="1:2" s="1" customFormat="1" x14ac:dyDescent="0.25"/>
    <row r="66" spans="1:2" s="1" customFormat="1" x14ac:dyDescent="0.25"/>
    <row r="67" spans="1:2" s="1" customFormat="1" x14ac:dyDescent="0.25"/>
    <row r="68" spans="1:2" s="1" customFormat="1" x14ac:dyDescent="0.25"/>
    <row r="69" spans="1:2" s="1" customFormat="1" x14ac:dyDescent="0.25"/>
    <row r="70" spans="1:2" s="1" customFormat="1" x14ac:dyDescent="0.25"/>
    <row r="71" spans="1:2" x14ac:dyDescent="0.25">
      <c r="A71" s="1"/>
      <c r="B71" s="1"/>
    </row>
    <row r="72" spans="1:2" x14ac:dyDescent="0.25">
      <c r="A72" s="1"/>
      <c r="B72" s="1"/>
    </row>
    <row r="73" spans="1:2" x14ac:dyDescent="0.25">
      <c r="A73" s="1"/>
      <c r="B73" s="1"/>
    </row>
    <row r="74" spans="1:2" x14ac:dyDescent="0.25">
      <c r="A74" s="1"/>
      <c r="B74" s="1"/>
    </row>
  </sheetData>
  <sheetProtection algorithmName="SHA-512" hashValue="2c/K7BVeA+JOjsvnu2HILGfEHHcx80UTyQTucJ5c70tus45UaD3gXdqjB7xLC6LydtmfT9VN5B07LstuhHP+UQ==" saltValue="5+Ylqwr6SZ9tvbSyY2m3gQ==" spinCount="100000" sheet="1" objects="1" scenarios="1" formatCells="0"/>
  <mergeCells count="25">
    <mergeCell ref="J31:J40"/>
    <mergeCell ref="C12:D12"/>
    <mergeCell ref="E12:F12"/>
    <mergeCell ref="J19:J30"/>
    <mergeCell ref="D53:D62"/>
    <mergeCell ref="J53:J62"/>
    <mergeCell ref="D46:D52"/>
    <mergeCell ref="J46:J52"/>
    <mergeCell ref="D41:D45"/>
    <mergeCell ref="J41:J45"/>
    <mergeCell ref="D31:D40"/>
    <mergeCell ref="C11:D11"/>
    <mergeCell ref="E11:F11"/>
    <mergeCell ref="J17:J18"/>
    <mergeCell ref="D19:D30"/>
    <mergeCell ref="C17:C18"/>
    <mergeCell ref="D17:E17"/>
    <mergeCell ref="F17:F18"/>
    <mergeCell ref="G17:G18"/>
    <mergeCell ref="I17:I18"/>
    <mergeCell ref="C7:K7"/>
    <mergeCell ref="C9:D9"/>
    <mergeCell ref="E9:F9"/>
    <mergeCell ref="C10:D10"/>
    <mergeCell ref="E10:F10"/>
  </mergeCells>
  <conditionalFormatting sqref="I19:I62">
    <cfRule type="cellIs" dxfId="19" priority="4" operator="between">
      <formula>0.75</formula>
      <formula>1</formula>
    </cfRule>
    <cfRule type="cellIs" dxfId="18" priority="5" operator="between">
      <formula>0.5</formula>
      <formula>0.74</formula>
    </cfRule>
    <cfRule type="cellIs" dxfId="17" priority="6" operator="between">
      <formula>0</formula>
      <formula>0.49</formula>
    </cfRule>
  </conditionalFormatting>
  <conditionalFormatting sqref="J53 J19:J31 J46 J41">
    <cfRule type="cellIs" priority="1" operator="between">
      <formula>0.75</formula>
      <formula>1</formula>
    </cfRule>
    <cfRule type="cellIs" dxfId="16" priority="2" operator="between">
      <formula>0.5</formula>
      <formula>0.75</formula>
    </cfRule>
    <cfRule type="cellIs" dxfId="15" priority="3" operator="between">
      <formula>0</formula>
      <formula>0.49</formula>
    </cfRule>
  </conditionalFormatting>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containsText" priority="7" operator="containsText" id="{B5EC0094-D2B5-49BB-B6F9-E988382E1263}">
            <xm:f>NOT(ISERROR(SEARCH($E$12,G19)))</xm:f>
            <xm:f>$E$12</xm:f>
            <x14:dxf>
              <fill>
                <patternFill>
                  <bgColor rgb="FFFF0000"/>
                </patternFill>
              </fill>
            </x14:dxf>
          </x14:cfRule>
          <x14:cfRule type="containsText" priority="8" operator="containsText" id="{D802A135-824D-43A0-835B-FE63514274DE}">
            <xm:f>NOT(ISERROR(SEARCH($E$11,G19)))</xm:f>
            <xm:f>$E$11</xm:f>
            <x14:dxf>
              <fill>
                <patternFill>
                  <bgColor rgb="FFFFFF00"/>
                </patternFill>
              </fill>
            </x14:dxf>
          </x14:cfRule>
          <x14:cfRule type="containsText" priority="9" operator="containsText" id="{D7844022-1CB2-4683-9B09-8D3EA8F0FDED}">
            <xm:f>NOT(ISERROR(SEARCH($E$10,G19)))</xm:f>
            <xm:f>$E$10</xm:f>
            <x14:dxf>
              <fill>
                <patternFill>
                  <bgColor rgb="FF00B050"/>
                </patternFill>
              </fill>
            </x14:dxf>
          </x14:cfRule>
          <xm:sqref>G19:G62</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41"/>
  <sheetViews>
    <sheetView tabSelected="1" topLeftCell="D1" zoomScale="89" zoomScaleNormal="89" workbookViewId="0">
      <selection activeCell="I13" sqref="I13"/>
    </sheetView>
  </sheetViews>
  <sheetFormatPr baseColWidth="10" defaultColWidth="11.42578125" defaultRowHeight="15" x14ac:dyDescent="0.25"/>
  <cols>
    <col min="1" max="1" width="4.42578125" customWidth="1"/>
    <col min="3" max="3" width="35.5703125" customWidth="1"/>
    <col min="4" max="4" width="13" customWidth="1"/>
    <col min="5" max="5" width="43.28515625" customWidth="1"/>
    <col min="7" max="7" width="33.85546875" customWidth="1"/>
    <col min="9" max="9" width="92.28515625" customWidth="1"/>
    <col min="13" max="13" width="29" customWidth="1"/>
  </cols>
  <sheetData>
    <row r="1" spans="1:17" s="1" customFormat="1" x14ac:dyDescent="0.25"/>
    <row r="2" spans="1:17" ht="15.75" thickBot="1" x14ac:dyDescent="0.3">
      <c r="A2" s="1"/>
      <c r="B2" s="1"/>
      <c r="C2" s="1"/>
      <c r="D2" s="1"/>
      <c r="E2" s="1"/>
      <c r="F2" s="1"/>
      <c r="G2" s="1"/>
      <c r="H2" s="1"/>
      <c r="I2" s="1"/>
      <c r="J2" s="1"/>
      <c r="K2" s="1"/>
      <c r="L2" s="1"/>
      <c r="M2" s="1"/>
      <c r="N2" s="1"/>
      <c r="O2" s="1"/>
      <c r="P2" s="1"/>
      <c r="Q2" s="1"/>
    </row>
    <row r="3" spans="1:17" ht="15.75" thickTop="1" x14ac:dyDescent="0.25">
      <c r="A3" s="1"/>
      <c r="B3" s="2"/>
      <c r="C3" s="3"/>
      <c r="D3" s="3"/>
      <c r="E3" s="3"/>
      <c r="F3" s="3"/>
      <c r="G3" s="3"/>
      <c r="H3" s="3"/>
      <c r="I3" s="3"/>
      <c r="J3" s="3"/>
      <c r="K3" s="3"/>
      <c r="L3" s="3"/>
      <c r="M3" s="3"/>
      <c r="N3" s="3"/>
      <c r="O3" s="3"/>
      <c r="P3" s="4"/>
      <c r="Q3" s="1"/>
    </row>
    <row r="4" spans="1:17" ht="16.5" x14ac:dyDescent="0.3">
      <c r="A4" s="1"/>
      <c r="B4" s="5"/>
      <c r="C4" s="6"/>
      <c r="D4" s="6"/>
      <c r="E4" s="310" t="s">
        <v>124</v>
      </c>
      <c r="F4" s="312" t="s">
        <v>219</v>
      </c>
      <c r="G4" s="312"/>
      <c r="H4" s="312"/>
      <c r="I4" s="312"/>
      <c r="J4" s="312"/>
      <c r="K4" s="312"/>
      <c r="L4" s="312"/>
      <c r="M4" s="312"/>
      <c r="N4" s="7"/>
      <c r="O4" s="7"/>
      <c r="P4" s="8"/>
      <c r="Q4" s="1"/>
    </row>
    <row r="5" spans="1:17" ht="45.75" customHeight="1" x14ac:dyDescent="0.3">
      <c r="A5" s="1"/>
      <c r="B5" s="5"/>
      <c r="C5" s="6"/>
      <c r="D5" s="6"/>
      <c r="E5" s="311"/>
      <c r="F5" s="312"/>
      <c r="G5" s="312"/>
      <c r="H5" s="312"/>
      <c r="I5" s="312"/>
      <c r="J5" s="312"/>
      <c r="K5" s="312"/>
      <c r="L5" s="312"/>
      <c r="M5" s="312"/>
      <c r="N5" s="7"/>
      <c r="O5" s="7"/>
      <c r="P5" s="8"/>
      <c r="Q5" s="1"/>
    </row>
    <row r="6" spans="1:17" ht="66.75" customHeight="1" x14ac:dyDescent="0.3">
      <c r="A6" s="1"/>
      <c r="B6" s="5"/>
      <c r="C6" s="6"/>
      <c r="D6" s="6"/>
      <c r="E6" s="96" t="s">
        <v>125</v>
      </c>
      <c r="F6" s="313" t="s">
        <v>220</v>
      </c>
      <c r="G6" s="314"/>
      <c r="H6" s="314"/>
      <c r="I6" s="314"/>
      <c r="J6" s="314"/>
      <c r="K6" s="314"/>
      <c r="L6" s="314"/>
      <c r="M6" s="315"/>
      <c r="N6" s="9"/>
      <c r="O6" s="9"/>
      <c r="P6" s="8"/>
      <c r="Q6" s="1"/>
    </row>
    <row r="7" spans="1:17" ht="17.25" thickBot="1" x14ac:dyDescent="0.35">
      <c r="A7" s="1"/>
      <c r="B7" s="5"/>
      <c r="C7" s="6"/>
      <c r="D7" s="6"/>
      <c r="E7" s="10"/>
      <c r="F7" s="9"/>
      <c r="G7" s="9"/>
      <c r="H7" s="9"/>
      <c r="I7" s="9"/>
      <c r="J7" s="9"/>
      <c r="K7" s="9"/>
      <c r="L7" s="9"/>
      <c r="M7" s="6"/>
      <c r="N7" s="6"/>
      <c r="O7" s="6"/>
      <c r="P7" s="8"/>
      <c r="Q7" s="1"/>
    </row>
    <row r="8" spans="1:17" ht="97.5" customHeight="1" thickBot="1" x14ac:dyDescent="0.3">
      <c r="A8" s="1"/>
      <c r="B8" s="5"/>
      <c r="C8" s="6"/>
      <c r="D8" s="6"/>
      <c r="E8" s="6"/>
      <c r="F8" s="6"/>
      <c r="G8" s="6"/>
      <c r="H8" s="6"/>
      <c r="I8" s="316" t="s">
        <v>126</v>
      </c>
      <c r="J8" s="317"/>
      <c r="K8" s="318"/>
      <c r="L8" s="6"/>
      <c r="M8" s="149">
        <f>+AVERAGE(G26,G28,G30,G32,G34)</f>
        <v>0.55428571428571427</v>
      </c>
      <c r="N8" s="11"/>
      <c r="O8" s="11"/>
      <c r="P8" s="8"/>
      <c r="Q8" s="1"/>
    </row>
    <row r="9" spans="1:17" ht="15.75" x14ac:dyDescent="0.25">
      <c r="A9" s="1"/>
      <c r="B9" s="5"/>
      <c r="C9" s="6"/>
      <c r="D9" s="6"/>
      <c r="E9" s="6"/>
      <c r="F9" s="6"/>
      <c r="G9" s="6"/>
      <c r="H9" s="6"/>
      <c r="I9" s="6"/>
      <c r="J9" s="6"/>
      <c r="K9" s="6"/>
      <c r="L9" s="6"/>
      <c r="M9" s="12"/>
      <c r="N9" s="12"/>
      <c r="O9" s="12"/>
      <c r="P9" s="8"/>
      <c r="Q9" s="1"/>
    </row>
    <row r="10" spans="1:17" x14ac:dyDescent="0.25">
      <c r="A10" s="1"/>
      <c r="B10" s="5"/>
      <c r="C10" s="6"/>
      <c r="D10" s="6"/>
      <c r="E10" s="6"/>
      <c r="F10" s="6"/>
      <c r="G10" s="6"/>
      <c r="H10" s="6"/>
      <c r="I10" s="6"/>
      <c r="J10" s="6"/>
      <c r="K10" s="6"/>
      <c r="L10" s="6"/>
      <c r="M10" s="6"/>
      <c r="N10" s="6"/>
      <c r="O10" s="6"/>
      <c r="P10" s="8"/>
      <c r="Q10" s="1"/>
    </row>
    <row r="11" spans="1:17" x14ac:dyDescent="0.25">
      <c r="A11" s="1"/>
      <c r="B11" s="5"/>
      <c r="C11" s="6"/>
      <c r="D11" s="6"/>
      <c r="E11" s="6"/>
      <c r="F11" s="6"/>
      <c r="G11" s="6"/>
      <c r="H11" s="6"/>
      <c r="I11" s="6"/>
      <c r="J11" s="6"/>
      <c r="K11" s="6"/>
      <c r="L11" s="6"/>
      <c r="M11" s="6"/>
      <c r="N11" s="6"/>
      <c r="O11" s="6"/>
      <c r="P11" s="8"/>
      <c r="Q11" s="1"/>
    </row>
    <row r="12" spans="1:17" x14ac:dyDescent="0.25">
      <c r="A12" s="1"/>
      <c r="B12" s="5"/>
      <c r="C12" s="6"/>
      <c r="D12" s="6"/>
      <c r="E12" s="6"/>
      <c r="F12" s="6"/>
      <c r="G12" s="6"/>
      <c r="H12" s="6"/>
      <c r="I12" s="6"/>
      <c r="J12" s="6"/>
      <c r="K12" s="6"/>
      <c r="L12" s="6"/>
      <c r="M12" s="6"/>
      <c r="N12" s="6"/>
      <c r="O12" s="6"/>
      <c r="P12" s="8"/>
      <c r="Q12" s="1"/>
    </row>
    <row r="13" spans="1:17" x14ac:dyDescent="0.25">
      <c r="A13" s="1"/>
      <c r="B13" s="5"/>
      <c r="C13" s="6"/>
      <c r="D13" s="6"/>
      <c r="E13" s="6"/>
      <c r="F13" s="6"/>
      <c r="G13" s="6"/>
      <c r="H13" s="6"/>
      <c r="I13" s="6"/>
      <c r="J13" s="6"/>
      <c r="K13" s="6"/>
      <c r="L13" s="6"/>
      <c r="M13" s="6"/>
      <c r="N13" s="6"/>
      <c r="O13" s="6"/>
      <c r="P13" s="8"/>
      <c r="Q13" s="1"/>
    </row>
    <row r="14" spans="1:17" x14ac:dyDescent="0.25">
      <c r="A14" s="1"/>
      <c r="B14" s="5"/>
      <c r="C14" s="6"/>
      <c r="D14" s="6"/>
      <c r="E14" s="6"/>
      <c r="F14" s="6"/>
      <c r="G14" s="6"/>
      <c r="H14" s="6"/>
      <c r="I14" s="6"/>
      <c r="J14" s="6"/>
      <c r="K14" s="6"/>
      <c r="L14" s="6"/>
      <c r="M14" s="6"/>
      <c r="N14" s="6"/>
      <c r="O14" s="6"/>
      <c r="P14" s="8"/>
      <c r="Q14" s="1"/>
    </row>
    <row r="15" spans="1:17" x14ac:dyDescent="0.25">
      <c r="A15" s="1"/>
      <c r="B15" s="5"/>
      <c r="C15" s="6"/>
      <c r="D15" s="6"/>
      <c r="E15" s="6"/>
      <c r="F15" s="6"/>
      <c r="G15" s="6"/>
      <c r="H15" s="6"/>
      <c r="I15" s="6"/>
      <c r="J15" s="6"/>
      <c r="K15" s="6"/>
      <c r="L15" s="6"/>
      <c r="M15" s="6"/>
      <c r="N15" s="6"/>
      <c r="O15" s="6"/>
      <c r="P15" s="8"/>
      <c r="Q15" s="1"/>
    </row>
    <row r="16" spans="1:17" x14ac:dyDescent="0.25">
      <c r="A16" s="1"/>
      <c r="B16" s="5"/>
      <c r="C16" s="6"/>
      <c r="D16" s="6"/>
      <c r="E16" s="6"/>
      <c r="F16" s="6"/>
      <c r="G16" s="6"/>
      <c r="H16" s="6"/>
      <c r="I16" s="6"/>
      <c r="J16" s="6"/>
      <c r="K16" s="6"/>
      <c r="L16" s="6"/>
      <c r="M16" s="6"/>
      <c r="N16" s="6"/>
      <c r="O16" s="6"/>
      <c r="P16" s="8"/>
      <c r="Q16" s="1"/>
    </row>
    <row r="17" spans="1:17" x14ac:dyDescent="0.25">
      <c r="A17" s="1"/>
      <c r="B17" s="5"/>
      <c r="C17" s="6"/>
      <c r="D17" s="6"/>
      <c r="E17" s="6"/>
      <c r="F17" s="6"/>
      <c r="G17" s="6"/>
      <c r="H17" s="6"/>
      <c r="I17" s="6"/>
      <c r="J17" s="6"/>
      <c r="K17" s="6"/>
      <c r="L17" s="6"/>
      <c r="M17" s="6"/>
      <c r="N17" s="6"/>
      <c r="O17" s="6"/>
      <c r="P17" s="8"/>
      <c r="Q17" s="1"/>
    </row>
    <row r="18" spans="1:17" ht="23.25" x14ac:dyDescent="0.25">
      <c r="A18" s="1"/>
      <c r="B18" s="5"/>
      <c r="C18" s="319" t="s">
        <v>127</v>
      </c>
      <c r="D18" s="320"/>
      <c r="E18" s="320"/>
      <c r="F18" s="320"/>
      <c r="G18" s="320"/>
      <c r="H18" s="320"/>
      <c r="I18" s="320"/>
      <c r="J18" s="320"/>
      <c r="K18" s="320"/>
      <c r="L18" s="320"/>
      <c r="M18" s="321"/>
      <c r="N18" s="13"/>
      <c r="O18" s="13"/>
      <c r="P18" s="8"/>
      <c r="Q18" s="1"/>
    </row>
    <row r="19" spans="1:17" ht="16.5" thickBot="1" x14ac:dyDescent="0.3">
      <c r="A19" s="1"/>
      <c r="B19" s="5"/>
      <c r="C19" s="14"/>
      <c r="D19" s="14"/>
      <c r="E19" s="14"/>
      <c r="F19" s="14"/>
      <c r="G19" s="14"/>
      <c r="H19" s="14"/>
      <c r="I19" s="14"/>
      <c r="J19" s="14"/>
      <c r="K19" s="14"/>
      <c r="L19" s="14"/>
      <c r="M19" s="14"/>
      <c r="N19" s="15"/>
      <c r="O19" s="15"/>
      <c r="P19" s="8"/>
      <c r="Q19" s="1"/>
    </row>
    <row r="20" spans="1:17" ht="150" customHeight="1" x14ac:dyDescent="0.25">
      <c r="A20" s="1"/>
      <c r="B20" s="5"/>
      <c r="C20" s="322" t="s">
        <v>128</v>
      </c>
      <c r="D20" s="323"/>
      <c r="E20" s="152" t="s">
        <v>76</v>
      </c>
      <c r="F20" s="324" t="s">
        <v>210</v>
      </c>
      <c r="G20" s="324"/>
      <c r="H20" s="324"/>
      <c r="I20" s="324"/>
      <c r="J20" s="324"/>
      <c r="K20" s="324"/>
      <c r="L20" s="324"/>
      <c r="M20" s="325"/>
      <c r="N20" s="15"/>
      <c r="O20" s="15"/>
      <c r="P20" s="8"/>
      <c r="Q20" s="1"/>
    </row>
    <row r="21" spans="1:17" ht="126.75" customHeight="1" x14ac:dyDescent="0.25">
      <c r="A21" s="1"/>
      <c r="B21" s="5"/>
      <c r="C21" s="306" t="s">
        <v>129</v>
      </c>
      <c r="D21" s="307"/>
      <c r="E21" s="153" t="s">
        <v>36</v>
      </c>
      <c r="F21" s="326" t="s">
        <v>211</v>
      </c>
      <c r="G21" s="326"/>
      <c r="H21" s="326"/>
      <c r="I21" s="326"/>
      <c r="J21" s="326"/>
      <c r="K21" s="326"/>
      <c r="L21" s="326"/>
      <c r="M21" s="327"/>
      <c r="N21" s="15"/>
      <c r="O21" s="15"/>
      <c r="P21" s="8"/>
      <c r="Q21" s="1"/>
    </row>
    <row r="22" spans="1:17" ht="151.5" customHeight="1" thickBot="1" x14ac:dyDescent="0.3">
      <c r="A22" s="1"/>
      <c r="B22" s="5"/>
      <c r="C22" s="308" t="s">
        <v>130</v>
      </c>
      <c r="D22" s="309"/>
      <c r="E22" s="154" t="s">
        <v>36</v>
      </c>
      <c r="F22" s="328" t="s">
        <v>212</v>
      </c>
      <c r="G22" s="328"/>
      <c r="H22" s="328"/>
      <c r="I22" s="328"/>
      <c r="J22" s="328"/>
      <c r="K22" s="328"/>
      <c r="L22" s="328"/>
      <c r="M22" s="329"/>
      <c r="N22" s="15"/>
      <c r="O22" s="15"/>
      <c r="P22" s="8"/>
      <c r="Q22" s="1"/>
    </row>
    <row r="23" spans="1:17" x14ac:dyDescent="0.25">
      <c r="A23" s="1"/>
      <c r="B23" s="5"/>
      <c r="C23" s="6"/>
      <c r="D23" s="6"/>
      <c r="E23" s="6"/>
      <c r="F23" s="6"/>
      <c r="G23" s="16"/>
      <c r="H23" s="6"/>
      <c r="I23" s="6"/>
      <c r="J23" s="6"/>
      <c r="K23" s="6"/>
      <c r="L23" s="6"/>
      <c r="M23" s="6"/>
      <c r="N23" s="6"/>
      <c r="O23" s="6"/>
      <c r="P23" s="8"/>
      <c r="Q23" s="1"/>
    </row>
    <row r="24" spans="1:17" ht="78.75" x14ac:dyDescent="0.25">
      <c r="A24" s="1"/>
      <c r="B24" s="5"/>
      <c r="C24" s="99" t="s">
        <v>131</v>
      </c>
      <c r="D24" s="100"/>
      <c r="E24" s="99" t="s">
        <v>132</v>
      </c>
      <c r="F24" s="100"/>
      <c r="G24" s="99" t="s">
        <v>133</v>
      </c>
      <c r="H24" s="100"/>
      <c r="I24" s="300" t="s">
        <v>134</v>
      </c>
      <c r="J24" s="300"/>
      <c r="K24" s="300"/>
      <c r="L24" s="300"/>
      <c r="M24" s="300"/>
      <c r="N24" s="33"/>
      <c r="O24" s="33"/>
      <c r="P24" s="8"/>
      <c r="Q24" s="17"/>
    </row>
    <row r="25" spans="1:17" ht="13.5" customHeight="1" thickBot="1" x14ac:dyDescent="0.3">
      <c r="A25" s="1"/>
      <c r="B25" s="5"/>
      <c r="C25" s="32"/>
      <c r="D25" s="18"/>
      <c r="E25" s="18"/>
      <c r="F25" s="18"/>
      <c r="G25" s="18"/>
      <c r="H25" s="18"/>
      <c r="I25" s="304"/>
      <c r="J25" s="304"/>
      <c r="K25" s="304"/>
      <c r="L25" s="304"/>
      <c r="M25" s="304"/>
      <c r="N25" s="34"/>
      <c r="O25" s="34"/>
      <c r="P25" s="8"/>
      <c r="Q25" s="1"/>
    </row>
    <row r="26" spans="1:17" ht="155.25" customHeight="1" thickBot="1" x14ac:dyDescent="0.3">
      <c r="A26" s="1"/>
      <c r="B26" s="5"/>
      <c r="C26" s="90" t="s">
        <v>32</v>
      </c>
      <c r="D26" s="19"/>
      <c r="E26" s="150" t="str">
        <f>+IF(Hoja1!K2&gt;=0.5,"Si","No")</f>
        <v>Si</v>
      </c>
      <c r="F26" s="20"/>
      <c r="G26" s="151">
        <f>+Hoja1!K2</f>
        <v>0.75</v>
      </c>
      <c r="H26" s="20"/>
      <c r="I26" s="301" t="s">
        <v>215</v>
      </c>
      <c r="J26" s="302"/>
      <c r="K26" s="302"/>
      <c r="L26" s="302"/>
      <c r="M26" s="303"/>
      <c r="N26" s="35"/>
      <c r="O26" s="36"/>
      <c r="P26" s="21"/>
      <c r="Q26" s="22"/>
    </row>
    <row r="27" spans="1:17" ht="27" thickBot="1" x14ac:dyDescent="0.45">
      <c r="A27" s="1"/>
      <c r="B27" s="5"/>
      <c r="C27" s="91"/>
      <c r="D27" s="23"/>
      <c r="E27" s="98"/>
      <c r="F27" s="18"/>
      <c r="G27" s="24"/>
      <c r="H27" s="18"/>
      <c r="I27" s="305"/>
      <c r="J27" s="305"/>
      <c r="K27" s="305"/>
      <c r="L27" s="305"/>
      <c r="M27" s="305"/>
      <c r="N27" s="37"/>
      <c r="O27" s="37"/>
      <c r="P27" s="8"/>
      <c r="Q27" s="1"/>
    </row>
    <row r="28" spans="1:17" ht="118.5" customHeight="1" thickBot="1" x14ac:dyDescent="0.3">
      <c r="A28" s="1"/>
      <c r="B28" s="5"/>
      <c r="C28" s="92" t="s">
        <v>135</v>
      </c>
      <c r="D28" s="19"/>
      <c r="E28" s="150" t="str">
        <f>+IF(Hoja1!K14&gt;=0.5,"Si","No")</f>
        <v>No</v>
      </c>
      <c r="F28" s="18"/>
      <c r="G28" s="151">
        <f>+Hoja1!K14</f>
        <v>0.2</v>
      </c>
      <c r="H28" s="18"/>
      <c r="I28" s="297" t="s">
        <v>213</v>
      </c>
      <c r="J28" s="298"/>
      <c r="K28" s="298"/>
      <c r="L28" s="298"/>
      <c r="M28" s="299"/>
      <c r="N28" s="35"/>
      <c r="O28" s="35"/>
      <c r="P28" s="8"/>
      <c r="Q28" s="1"/>
    </row>
    <row r="29" spans="1:17" ht="27" thickBot="1" x14ac:dyDescent="0.45">
      <c r="A29" s="1"/>
      <c r="B29" s="5"/>
      <c r="C29" s="91"/>
      <c r="D29" s="23"/>
      <c r="E29" s="98"/>
      <c r="F29" s="18"/>
      <c r="G29" s="24"/>
      <c r="H29" s="18"/>
      <c r="I29" s="305"/>
      <c r="J29" s="305"/>
      <c r="K29" s="305"/>
      <c r="L29" s="305"/>
      <c r="M29" s="305"/>
      <c r="N29" s="37"/>
      <c r="O29" s="37"/>
      <c r="P29" s="8"/>
      <c r="Q29" s="1"/>
    </row>
    <row r="30" spans="1:17" ht="123" customHeight="1" thickBot="1" x14ac:dyDescent="0.3">
      <c r="A30" s="1"/>
      <c r="B30" s="5"/>
      <c r="C30" s="93" t="s">
        <v>136</v>
      </c>
      <c r="D30" s="19"/>
      <c r="E30" s="150" t="str">
        <f>+IF(Hoja1!K24&gt;=0.5,"Si","No")</f>
        <v>Si</v>
      </c>
      <c r="F30" s="18"/>
      <c r="G30" s="151">
        <f>+Hoja1!K24</f>
        <v>0.7</v>
      </c>
      <c r="H30" s="18"/>
      <c r="I30" s="297" t="s">
        <v>214</v>
      </c>
      <c r="J30" s="298"/>
      <c r="K30" s="298"/>
      <c r="L30" s="298"/>
      <c r="M30" s="299"/>
      <c r="N30" s="35"/>
      <c r="O30" s="35"/>
      <c r="P30" s="8"/>
      <c r="Q30" s="1"/>
    </row>
    <row r="31" spans="1:17" ht="27" thickBot="1" x14ac:dyDescent="0.45">
      <c r="A31" s="1"/>
      <c r="B31" s="5"/>
      <c r="C31" s="91"/>
      <c r="D31" s="23"/>
      <c r="E31" s="98"/>
      <c r="F31" s="18"/>
      <c r="G31" s="24"/>
      <c r="H31" s="18"/>
      <c r="I31" s="305"/>
      <c r="J31" s="305"/>
      <c r="K31" s="305"/>
      <c r="L31" s="305"/>
      <c r="M31" s="305"/>
      <c r="N31" s="37"/>
      <c r="O31" s="37"/>
      <c r="P31" s="8"/>
      <c r="Q31" s="1"/>
    </row>
    <row r="32" spans="1:17" ht="171" customHeight="1" thickBot="1" x14ac:dyDescent="0.3">
      <c r="A32" s="1"/>
      <c r="B32" s="5"/>
      <c r="C32" s="94" t="s">
        <v>87</v>
      </c>
      <c r="D32" s="19"/>
      <c r="E32" s="150" t="str">
        <f>+IF(Hoja1!K29&gt;=0.5,"Si","No")</f>
        <v>Si</v>
      </c>
      <c r="F32" s="18"/>
      <c r="G32" s="151">
        <f>+Hoja1!K29</f>
        <v>0.5714285714285714</v>
      </c>
      <c r="H32" s="18"/>
      <c r="I32" s="297" t="s">
        <v>217</v>
      </c>
      <c r="J32" s="298"/>
      <c r="K32" s="298"/>
      <c r="L32" s="298"/>
      <c r="M32" s="299"/>
      <c r="N32" s="35"/>
      <c r="O32" s="35"/>
      <c r="P32" s="8"/>
      <c r="Q32" s="1"/>
    </row>
    <row r="33" spans="1:17" ht="27" thickBot="1" x14ac:dyDescent="0.45">
      <c r="A33" s="1"/>
      <c r="B33" s="5"/>
      <c r="C33" s="91"/>
      <c r="D33" s="23"/>
      <c r="E33" s="98"/>
      <c r="F33" s="18"/>
      <c r="G33" s="24"/>
      <c r="H33" s="18"/>
      <c r="I33" s="305"/>
      <c r="J33" s="305"/>
      <c r="K33" s="305"/>
      <c r="L33" s="305"/>
      <c r="M33" s="305"/>
      <c r="N33" s="37"/>
      <c r="O33" s="37"/>
      <c r="P33" s="8"/>
      <c r="Q33" s="1"/>
    </row>
    <row r="34" spans="1:17" ht="164.25" customHeight="1" thickBot="1" x14ac:dyDescent="0.3">
      <c r="A34" s="1"/>
      <c r="B34" s="5"/>
      <c r="C34" s="95" t="s">
        <v>137</v>
      </c>
      <c r="D34" s="19"/>
      <c r="E34" s="97" t="str">
        <f>+IF(Hoja1!K36&gt;=0.5,"Si","No")</f>
        <v>Si</v>
      </c>
      <c r="F34" s="18"/>
      <c r="G34" s="151">
        <f>+Hoja1!K36</f>
        <v>0.55000000000000004</v>
      </c>
      <c r="H34" s="18"/>
      <c r="I34" s="297" t="s">
        <v>216</v>
      </c>
      <c r="J34" s="298"/>
      <c r="K34" s="298"/>
      <c r="L34" s="298"/>
      <c r="M34" s="299"/>
      <c r="N34" s="35"/>
      <c r="O34" s="35"/>
      <c r="P34" s="8"/>
      <c r="Q34" s="1"/>
    </row>
    <row r="35" spans="1:17" ht="15.75" x14ac:dyDescent="0.25">
      <c r="A35" s="1"/>
      <c r="B35" s="5"/>
      <c r="C35" s="25"/>
      <c r="D35" s="25"/>
      <c r="E35" s="15"/>
      <c r="F35" s="6"/>
      <c r="G35" s="6"/>
      <c r="H35" s="6"/>
      <c r="I35" s="6"/>
      <c r="J35" s="6"/>
      <c r="K35" s="6"/>
      <c r="L35" s="6"/>
      <c r="M35" s="26"/>
      <c r="N35" s="26"/>
      <c r="O35" s="26"/>
      <c r="P35" s="8"/>
      <c r="Q35" s="1"/>
    </row>
    <row r="36" spans="1:17" ht="15.75" x14ac:dyDescent="0.25">
      <c r="A36" s="1"/>
      <c r="B36" s="5"/>
      <c r="C36" s="27"/>
      <c r="D36" s="25"/>
      <c r="E36" s="15"/>
      <c r="F36" s="6"/>
      <c r="G36" s="6"/>
      <c r="H36" s="6"/>
      <c r="I36" s="6"/>
      <c r="J36" s="6"/>
      <c r="K36" s="6"/>
      <c r="L36" s="6"/>
      <c r="M36" s="26"/>
      <c r="N36" s="26"/>
      <c r="O36" s="26"/>
      <c r="P36" s="8"/>
      <c r="Q36" s="1"/>
    </row>
    <row r="37" spans="1:17" x14ac:dyDescent="0.25">
      <c r="A37" s="1"/>
      <c r="B37" s="5"/>
      <c r="C37" s="28"/>
      <c r="D37" s="6"/>
      <c r="E37" s="6"/>
      <c r="F37" s="6"/>
      <c r="G37" s="6"/>
      <c r="H37" s="6"/>
      <c r="I37" s="6"/>
      <c r="J37" s="6"/>
      <c r="K37" s="6"/>
      <c r="L37" s="6"/>
      <c r="M37" s="6"/>
      <c r="N37" s="6"/>
      <c r="O37" s="6"/>
      <c r="P37" s="8"/>
      <c r="Q37" s="1"/>
    </row>
    <row r="38" spans="1:17" ht="15.75" thickBot="1" x14ac:dyDescent="0.3">
      <c r="A38" s="1"/>
      <c r="B38" s="29"/>
      <c r="C38" s="30"/>
      <c r="D38" s="30"/>
      <c r="E38" s="30"/>
      <c r="F38" s="30"/>
      <c r="G38" s="30"/>
      <c r="H38" s="30"/>
      <c r="I38" s="30"/>
      <c r="J38" s="30"/>
      <c r="K38" s="30"/>
      <c r="L38" s="30"/>
      <c r="M38" s="30"/>
      <c r="N38" s="30"/>
      <c r="O38" s="30"/>
      <c r="P38" s="31"/>
      <c r="Q38" s="1"/>
    </row>
    <row r="39" spans="1:17" ht="15.75" thickTop="1" x14ac:dyDescent="0.25">
      <c r="A39" s="1"/>
      <c r="B39" s="1"/>
      <c r="C39" s="1"/>
      <c r="D39" s="1"/>
      <c r="E39" s="1"/>
      <c r="F39" s="1"/>
      <c r="G39" s="1"/>
      <c r="H39" s="1"/>
      <c r="I39" s="1"/>
      <c r="J39" s="1"/>
      <c r="K39" s="1"/>
      <c r="L39" s="1"/>
      <c r="M39" s="1"/>
      <c r="N39" s="1"/>
      <c r="O39" s="1"/>
      <c r="P39" s="1"/>
      <c r="Q39" s="1"/>
    </row>
    <row r="40" spans="1:17" x14ac:dyDescent="0.25">
      <c r="A40" s="1"/>
      <c r="B40" s="1"/>
      <c r="C40" s="1"/>
      <c r="D40" s="1"/>
      <c r="E40" s="1"/>
      <c r="F40" s="1"/>
      <c r="G40" s="1"/>
      <c r="H40" s="1"/>
      <c r="I40" s="1"/>
      <c r="J40" s="1"/>
      <c r="K40" s="1"/>
      <c r="L40" s="1"/>
      <c r="M40" s="1"/>
      <c r="N40" s="1"/>
      <c r="O40" s="1"/>
      <c r="P40" s="1"/>
      <c r="Q40" s="1"/>
    </row>
    <row r="41" spans="1:17" x14ac:dyDescent="0.25">
      <c r="A41" s="1"/>
      <c r="B41" s="1"/>
      <c r="C41" s="1"/>
      <c r="D41" s="1"/>
      <c r="E41" s="1"/>
      <c r="F41" s="1"/>
      <c r="G41" s="1"/>
      <c r="H41" s="1"/>
      <c r="I41" s="1"/>
      <c r="J41" s="1"/>
      <c r="K41" s="1"/>
      <c r="L41" s="1"/>
      <c r="M41" s="1"/>
      <c r="N41" s="1"/>
      <c r="O41" s="1"/>
      <c r="P41" s="1"/>
      <c r="Q41" s="1"/>
    </row>
  </sheetData>
  <sheetProtection algorithmName="SHA-512" hashValue="mur5Q3PEaZxn8LXLz/eSymodHMyMcb7gr8gXWBwpSU/m7uV0ZPVWkcKOdJlg0OS/SXBXX9P/iBb2vTO1mWy68A==" saltValue="abZlHLcGIMQMz4F8z7vkTw==" spinCount="100000" sheet="1" objects="1" scenarios="1" formatCells="0" formatRows="0"/>
  <mergeCells count="22">
    <mergeCell ref="C21:D21"/>
    <mergeCell ref="C22:D22"/>
    <mergeCell ref="E4:E5"/>
    <mergeCell ref="F4:M5"/>
    <mergeCell ref="F6:M6"/>
    <mergeCell ref="I8:K8"/>
    <mergeCell ref="C18:M18"/>
    <mergeCell ref="C20:D20"/>
    <mergeCell ref="F20:M20"/>
    <mergeCell ref="F21:M21"/>
    <mergeCell ref="F22:M22"/>
    <mergeCell ref="I34:M34"/>
    <mergeCell ref="I30:M30"/>
    <mergeCell ref="I32:M32"/>
    <mergeCell ref="I24:M24"/>
    <mergeCell ref="I26:M26"/>
    <mergeCell ref="I28:M28"/>
    <mergeCell ref="I25:M25"/>
    <mergeCell ref="I27:M27"/>
    <mergeCell ref="I29:M29"/>
    <mergeCell ref="I31:M31"/>
    <mergeCell ref="I33:M33"/>
  </mergeCells>
  <conditionalFormatting sqref="G26 G28 G30 G32 G34">
    <cfRule type="cellIs" priority="4" operator="between">
      <formula>0.75</formula>
      <formula>1</formula>
    </cfRule>
    <cfRule type="cellIs" dxfId="11" priority="5" operator="between">
      <formula>0.5</formula>
      <formula>0.75</formula>
    </cfRule>
    <cfRule type="cellIs" dxfId="10" priority="6" operator="between">
      <formula>0</formula>
      <formula>0.49</formula>
    </cfRule>
    <cfRule type="cellIs" dxfId="9" priority="31" operator="between">
      <formula>0.76</formula>
      <formula>1</formula>
    </cfRule>
    <cfRule type="cellIs" dxfId="8" priority="32" operator="between">
      <formula>0.51</formula>
      <formula>0.75</formula>
    </cfRule>
    <cfRule type="cellIs" dxfId="7" priority="33" operator="between">
      <formula>0.26</formula>
      <formula>0.5</formula>
    </cfRule>
  </conditionalFormatting>
  <conditionalFormatting sqref="M8">
    <cfRule type="cellIs" dxfId="6" priority="1" operator="between">
      <formula>0.75</formula>
      <formula>1</formula>
    </cfRule>
    <cfRule type="cellIs" dxfId="5" priority="2" operator="between">
      <formula>0.5</formula>
      <formula>0.75</formula>
    </cfRule>
    <cfRule type="cellIs" dxfId="4" priority="3" operator="between">
      <formula>0</formula>
      <formula>0.49</formula>
    </cfRule>
    <cfRule type="cellIs" priority="27" operator="between">
      <formula>0.76</formula>
      <formula>1</formula>
    </cfRule>
    <cfRule type="cellIs" dxfId="3" priority="28" operator="between">
      <formula>0.51</formula>
      <formula>0.75</formula>
    </cfRule>
    <cfRule type="cellIs" dxfId="2" priority="29" operator="between">
      <formula>0.26</formula>
      <formula>0.5</formula>
    </cfRule>
    <cfRule type="cellIs" dxfId="1" priority="30" operator="between">
      <formula>0</formula>
      <formula>0.25</formula>
    </cfRule>
  </conditionalFormatting>
  <dataValidations count="3">
    <dataValidation type="list" allowBlank="1" showInputMessage="1" showErrorMessage="1" sqref="E21:E22">
      <formula1>"Si, No"</formula1>
    </dataValidation>
    <dataValidation allowBlank="1" showInputMessage="1" showErrorMessage="1" prompt="Celda formulada, información proveniente de la pestaña de deficiencias." sqref="E24"/>
    <dataValidation type="list" allowBlank="1" showInputMessage="1" showErrorMessage="1" sqref="E20">
      <formula1>"Si,En proceso,No"</formula1>
    </dataValidation>
  </dataValidations>
  <pageMargins left="0.7" right="0.7" top="0.75" bottom="0.75" header="0.3" footer="0.3"/>
  <pageSetup scale="33" fitToHeight="0" orientation="landscape" horizontalDpi="300" verticalDpi="300" r:id="rId1"/>
  <drawing r:id="rId2"/>
  <extLst>
    <ext xmlns:x14="http://schemas.microsoft.com/office/spreadsheetml/2009/9/main" uri="{78C0D931-6437-407d-A8EE-F0AAD7539E65}">
      <x14:conditionalFormattings>
        <x14:conditionalFormatting xmlns:xm="http://schemas.microsoft.com/office/excel/2006/main">
          <x14:cfRule type="cellIs" priority="34" operator="between" id="{7ADAD4B9-72C7-4518-BD8A-A7D8DD349CD9}">
            <xm:f>0</xm:f>
            <xm:f>'\Users\dell\Desktop\cesar\HISTORICOS\[2020-04-22_Formato_informe_sci_parametrizado_final.xlsx]Analisis de Resultados'!#REF!</xm:f>
            <x14:dxf>
              <fill>
                <patternFill>
                  <bgColor rgb="FFFF0000"/>
                </patternFill>
              </fill>
            </x14:dxf>
          </x14:cfRule>
          <xm:sqref>G26 G28 G30 G32 G34</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5"/>
  <sheetViews>
    <sheetView workbookViewId="0">
      <selection activeCell="F2" sqref="F2"/>
    </sheetView>
  </sheetViews>
  <sheetFormatPr baseColWidth="10" defaultColWidth="11.42578125" defaultRowHeight="15" x14ac:dyDescent="0.25"/>
  <cols>
    <col min="2" max="2" width="31" bestFit="1" customWidth="1"/>
    <col min="3" max="3" width="17.140625" customWidth="1"/>
    <col min="5" max="5" width="15.140625" customWidth="1"/>
    <col min="10" max="10" width="15.7109375" customWidth="1"/>
    <col min="11" max="11" width="12" bestFit="1" customWidth="1"/>
  </cols>
  <sheetData>
    <row r="1" spans="1:11" ht="84.75" customHeight="1" x14ac:dyDescent="0.25">
      <c r="A1" s="155" t="s">
        <v>25</v>
      </c>
      <c r="B1" s="155" t="s">
        <v>6</v>
      </c>
      <c r="C1" s="156" t="s">
        <v>8</v>
      </c>
      <c r="D1" s="157" t="s">
        <v>26</v>
      </c>
      <c r="E1" s="157" t="s">
        <v>27</v>
      </c>
      <c r="F1" s="157" t="s">
        <v>138</v>
      </c>
      <c r="G1" s="158" t="s">
        <v>139</v>
      </c>
      <c r="H1" s="158" t="s">
        <v>140</v>
      </c>
      <c r="I1" s="158" t="s">
        <v>119</v>
      </c>
      <c r="J1" s="158" t="s">
        <v>141</v>
      </c>
      <c r="K1" s="158" t="s">
        <v>142</v>
      </c>
    </row>
    <row r="2" spans="1:11" x14ac:dyDescent="0.25">
      <c r="A2" s="159" t="s">
        <v>143</v>
      </c>
      <c r="B2" s="159" t="str">
        <f>+VLOOKUP(A2,'Estado SCI'!$A$16:$C$59,3,0)</f>
        <v>AMBIENTE DE CONTROL</v>
      </c>
      <c r="C2" s="159" t="s">
        <v>33</v>
      </c>
      <c r="D2" s="159" t="s">
        <v>34</v>
      </c>
      <c r="E2" s="159" t="s">
        <v>35</v>
      </c>
      <c r="F2" s="159" t="str">
        <f>+VLOOKUP(A2,'Estado SCI'!$A$16:$I$59,9,0)</f>
        <v>Mantenimiento del control</v>
      </c>
      <c r="G2" s="159">
        <f>+VLOOKUP(A2,'Estado SCI'!$A$16:$L$59,12,0)</f>
        <v>20.123000000000001</v>
      </c>
      <c r="H2" s="159">
        <f t="shared" ref="H2:H45" si="0">+_xlfn.RANK.EQ(G2,$G$2:$G$45,1)</f>
        <v>4</v>
      </c>
      <c r="I2" s="159" t="str">
        <f>+IF(VLOOKUP(A2,'Estado SCI'!$A$16:$G$59,7,0)="","",VLOOKUP(A2,'Estado SCI'!$A$16:$G$59,7,0))</f>
        <v>Si</v>
      </c>
      <c r="J2" s="160">
        <f>+IF(I2="Si",1,IF(I2="En proceso",0.5,0))</f>
        <v>1</v>
      </c>
      <c r="K2" s="161">
        <f t="shared" ref="K2:K45" si="1">+AVERAGEIF($B$2:$B$45,B2,$J$2:$J$45)</f>
        <v>0.75</v>
      </c>
    </row>
    <row r="3" spans="1:11" x14ac:dyDescent="0.25">
      <c r="A3" s="159" t="s">
        <v>144</v>
      </c>
      <c r="B3" s="159" t="s">
        <v>32</v>
      </c>
      <c r="C3" s="159" t="s">
        <v>33</v>
      </c>
      <c r="D3" s="159" t="s">
        <v>37</v>
      </c>
      <c r="E3" s="159" t="s">
        <v>38</v>
      </c>
      <c r="F3" s="159" t="str">
        <f>+VLOOKUP(A3,'Estado SCI'!$A$16:$I$59,9,0)</f>
        <v>Mantenimiento del control</v>
      </c>
      <c r="G3" s="159">
        <f>+VLOOKUP(A3,'Estado SCI'!$A$16:$L$59,12,0)</f>
        <v>20.1234</v>
      </c>
      <c r="H3" s="159">
        <f t="shared" si="0"/>
        <v>5</v>
      </c>
      <c r="I3" s="159" t="str">
        <f>+IF(VLOOKUP(A3,'Estado SCI'!$A$16:$G$59,7,0)="","",VLOOKUP(A3,'Estado SCI'!$A$16:$G$59,7,0))</f>
        <v>Si</v>
      </c>
      <c r="J3" s="160">
        <f t="shared" ref="J3:J45" si="2">+IF(I3="Si",1,IF(I3="En proceso",0.5,0))</f>
        <v>1</v>
      </c>
      <c r="K3" s="161">
        <f t="shared" si="1"/>
        <v>0.75</v>
      </c>
    </row>
    <row r="4" spans="1:11" x14ac:dyDescent="0.25">
      <c r="A4" s="159" t="s">
        <v>145</v>
      </c>
      <c r="B4" s="159" t="s">
        <v>32</v>
      </c>
      <c r="C4" s="159" t="s">
        <v>33</v>
      </c>
      <c r="D4" s="159" t="s">
        <v>40</v>
      </c>
      <c r="E4" s="159" t="s">
        <v>41</v>
      </c>
      <c r="F4" s="159" t="str">
        <f>+VLOOKUP(A4,'Estado SCI'!$A$16:$I$59,9,0)</f>
        <v>Mantenimiento del control</v>
      </c>
      <c r="G4" s="159">
        <f>+VLOOKUP(A4,'Estado SCI'!$A$16:$L$59,12,0)</f>
        <v>20.123449999999998</v>
      </c>
      <c r="H4" s="159">
        <f t="shared" si="0"/>
        <v>6</v>
      </c>
      <c r="I4" s="159" t="str">
        <f>+IF(VLOOKUP(A4,'Estado SCI'!$A$16:$G$59,7,0)="","",VLOOKUP(A4,'Estado SCI'!$A$16:$G$59,7,0))</f>
        <v>Si</v>
      </c>
      <c r="J4" s="160">
        <f t="shared" si="2"/>
        <v>1</v>
      </c>
      <c r="K4" s="161">
        <f t="shared" si="1"/>
        <v>0.75</v>
      </c>
    </row>
    <row r="5" spans="1:11" x14ac:dyDescent="0.25">
      <c r="A5" s="159" t="s">
        <v>146</v>
      </c>
      <c r="B5" s="159" t="s">
        <v>32</v>
      </c>
      <c r="C5" s="159" t="s">
        <v>33</v>
      </c>
      <c r="D5" s="159" t="s">
        <v>42</v>
      </c>
      <c r="E5" s="159" t="s">
        <v>43</v>
      </c>
      <c r="F5" s="159" t="str">
        <f>+VLOOKUP(A5,'Estado SCI'!$A$16:$I$59,9,0)</f>
        <v>Mantenimiento del control</v>
      </c>
      <c r="G5" s="159">
        <f>+VLOOKUP(A5,'Estado SCI'!$A$16:$L$59,12,0)</f>
        <v>20.123456000000001</v>
      </c>
      <c r="H5" s="159">
        <f t="shared" si="0"/>
        <v>7</v>
      </c>
      <c r="I5" s="159" t="str">
        <f>+IF(VLOOKUP(A5,'Estado SCI'!$A$16:$G$59,7,0)="","",VLOOKUP(A5,'Estado SCI'!$A$16:$G$59,7,0))</f>
        <v>Si</v>
      </c>
      <c r="J5" s="160">
        <f t="shared" si="2"/>
        <v>1</v>
      </c>
      <c r="K5" s="161">
        <f t="shared" si="1"/>
        <v>0.75</v>
      </c>
    </row>
    <row r="6" spans="1:11" x14ac:dyDescent="0.25">
      <c r="A6" s="159" t="s">
        <v>147</v>
      </c>
      <c r="B6" s="159" t="s">
        <v>32</v>
      </c>
      <c r="C6" s="159" t="s">
        <v>33</v>
      </c>
      <c r="D6" s="159" t="s">
        <v>44</v>
      </c>
      <c r="E6" s="159" t="s">
        <v>45</v>
      </c>
      <c r="F6" s="159" t="str">
        <f>+VLOOKUP(A6,'Estado SCI'!$A$16:$I$59,9,0)</f>
        <v>Mantenimiento del control</v>
      </c>
      <c r="G6" s="159">
        <f>+VLOOKUP(A6,'Estado SCI'!$A$16:$L$59,12,0)</f>
        <v>20.123456780000001</v>
      </c>
      <c r="H6" s="159">
        <f t="shared" si="0"/>
        <v>8</v>
      </c>
      <c r="I6" s="159" t="str">
        <f>+IF(VLOOKUP(A6,'Estado SCI'!$A$16:$G$59,7,0)="","",VLOOKUP(A6,'Estado SCI'!$A$16:$G$59,7,0))</f>
        <v>Si</v>
      </c>
      <c r="J6" s="160">
        <f t="shared" si="2"/>
        <v>1</v>
      </c>
      <c r="K6" s="161">
        <f t="shared" si="1"/>
        <v>0.75</v>
      </c>
    </row>
    <row r="7" spans="1:11" x14ac:dyDescent="0.25">
      <c r="A7" s="159" t="s">
        <v>148</v>
      </c>
      <c r="B7" s="159" t="s">
        <v>32</v>
      </c>
      <c r="C7" s="159" t="s">
        <v>33</v>
      </c>
      <c r="D7" s="159" t="s">
        <v>46</v>
      </c>
      <c r="E7" s="159" t="s">
        <v>47</v>
      </c>
      <c r="F7" s="159" t="str">
        <f>+VLOOKUP(A7,'Estado SCI'!$A$16:$I$59,9,0)</f>
        <v>Mantenimiento del control</v>
      </c>
      <c r="G7" s="159">
        <f>+VLOOKUP(A7,'Estado SCI'!$A$16:$L$59,12,0)</f>
        <v>20.123456788999999</v>
      </c>
      <c r="H7" s="159">
        <f t="shared" si="0"/>
        <v>9</v>
      </c>
      <c r="I7" s="159" t="str">
        <f>+IF(VLOOKUP(A7,'Estado SCI'!$A$16:$G$59,7,0)="","",VLOOKUP(A7,'Estado SCI'!$A$16:$G$59,7,0))</f>
        <v>Si</v>
      </c>
      <c r="J7" s="160">
        <f t="shared" si="2"/>
        <v>1</v>
      </c>
      <c r="K7" s="161">
        <f t="shared" si="1"/>
        <v>0.75</v>
      </c>
    </row>
    <row r="8" spans="1:11" x14ac:dyDescent="0.25">
      <c r="A8" s="159" t="s">
        <v>149</v>
      </c>
      <c r="B8" s="159" t="s">
        <v>32</v>
      </c>
      <c r="C8" s="159" t="s">
        <v>33</v>
      </c>
      <c r="D8" s="159" t="s">
        <v>48</v>
      </c>
      <c r="E8" s="159" t="s">
        <v>49</v>
      </c>
      <c r="F8" s="159" t="str">
        <f>+VLOOKUP(A8,'Estado SCI'!$A$16:$I$59,9,0)</f>
        <v>Mantenimiento del control</v>
      </c>
      <c r="G8" s="159">
        <f>+VLOOKUP(A8,'Estado SCI'!$A$16:$L$59,12,0)</f>
        <v>20.1234567891</v>
      </c>
      <c r="H8" s="159">
        <f t="shared" si="0"/>
        <v>10</v>
      </c>
      <c r="I8" s="159" t="str">
        <f>+IF(VLOOKUP(A8,'Estado SCI'!$A$16:$G$59,7,0)="","",VLOOKUP(A8,'Estado SCI'!$A$16:$G$59,7,0))</f>
        <v>Si</v>
      </c>
      <c r="J8" s="160">
        <f t="shared" si="2"/>
        <v>1</v>
      </c>
      <c r="K8" s="161">
        <f t="shared" si="1"/>
        <v>0.75</v>
      </c>
    </row>
    <row r="9" spans="1:11" x14ac:dyDescent="0.25">
      <c r="A9" s="159" t="s">
        <v>150</v>
      </c>
      <c r="B9" s="159" t="s">
        <v>32</v>
      </c>
      <c r="C9" s="159" t="s">
        <v>33</v>
      </c>
      <c r="D9" s="159" t="s">
        <v>50</v>
      </c>
      <c r="E9" s="159" t="s">
        <v>51</v>
      </c>
      <c r="F9" s="159" t="str">
        <f>+VLOOKUP(A9,'Estado SCI'!$A$16:$I$59,9,0)</f>
        <v>Deficiencia de control</v>
      </c>
      <c r="G9" s="159">
        <f>+VLOOKUP(A9,'Estado SCI'!$A$16:$L$59,12,0)</f>
        <v>0.12345678911999999</v>
      </c>
      <c r="H9" s="159">
        <f t="shared" si="0"/>
        <v>1</v>
      </c>
      <c r="I9" s="159" t="str">
        <f>+IF(VLOOKUP(A9,'Estado SCI'!$A$16:$G$59,7,0)="","",VLOOKUP(A9,'Estado SCI'!$A$16:$G$59,7,0))</f>
        <v>No</v>
      </c>
      <c r="J9" s="160">
        <f t="shared" si="2"/>
        <v>0</v>
      </c>
      <c r="K9" s="161">
        <f t="shared" si="1"/>
        <v>0.75</v>
      </c>
    </row>
    <row r="10" spans="1:11" x14ac:dyDescent="0.25">
      <c r="A10" s="159" t="s">
        <v>151</v>
      </c>
      <c r="B10" s="159" t="s">
        <v>32</v>
      </c>
      <c r="C10" s="159" t="s">
        <v>33</v>
      </c>
      <c r="D10" s="159" t="s">
        <v>52</v>
      </c>
      <c r="E10" s="159" t="s">
        <v>53</v>
      </c>
      <c r="F10" s="159" t="str">
        <f>+VLOOKUP(A10,'Estado SCI'!$A$16:$I$59,9,0)</f>
        <v>Deficiencia de control</v>
      </c>
      <c r="G10" s="159">
        <f>+VLOOKUP(A10,'Estado SCI'!$A$16:$L$59,12,0)</f>
        <v>0.123456789123</v>
      </c>
      <c r="H10" s="159">
        <f t="shared" si="0"/>
        <v>2</v>
      </c>
      <c r="I10" s="159" t="str">
        <f>+IF(VLOOKUP(A10,'Estado SCI'!$A$16:$G$59,7,0)="","",VLOOKUP(A10,'Estado SCI'!$A$16:$G$59,7,0))</f>
        <v>No</v>
      </c>
      <c r="J10" s="160">
        <f t="shared" si="2"/>
        <v>0</v>
      </c>
      <c r="K10" s="161">
        <f t="shared" si="1"/>
        <v>0.75</v>
      </c>
    </row>
    <row r="11" spans="1:11" x14ac:dyDescent="0.25">
      <c r="A11" s="159" t="s">
        <v>152</v>
      </c>
      <c r="B11" s="159" t="s">
        <v>32</v>
      </c>
      <c r="C11" s="159" t="s">
        <v>33</v>
      </c>
      <c r="D11" s="159" t="s">
        <v>54</v>
      </c>
      <c r="E11" s="159" t="s">
        <v>55</v>
      </c>
      <c r="F11" s="159" t="str">
        <f>+VLOOKUP(A11,'Estado SCI'!$A$16:$I$59,9,0)</f>
        <v>Deficiencia de control</v>
      </c>
      <c r="G11" s="159">
        <f>+VLOOKUP(A11,'Estado SCI'!$A$16:$L$59,12,0)</f>
        <v>0.1234567891234</v>
      </c>
      <c r="H11" s="159">
        <f t="shared" si="0"/>
        <v>3</v>
      </c>
      <c r="I11" s="159" t="str">
        <f>+IF(VLOOKUP(A11,'Estado SCI'!$A$16:$G$59,7,0)="","",VLOOKUP(A11,'Estado SCI'!$A$16:$G$59,7,0))</f>
        <v>No</v>
      </c>
      <c r="J11" s="160">
        <f t="shared" si="2"/>
        <v>0</v>
      </c>
      <c r="K11" s="161">
        <f t="shared" si="1"/>
        <v>0.75</v>
      </c>
    </row>
    <row r="12" spans="1:11" x14ac:dyDescent="0.25">
      <c r="A12" s="159" t="s">
        <v>153</v>
      </c>
      <c r="B12" s="159" t="s">
        <v>32</v>
      </c>
      <c r="C12" s="159" t="s">
        <v>33</v>
      </c>
      <c r="D12" s="159" t="s">
        <v>56</v>
      </c>
      <c r="E12" s="159" t="s">
        <v>57</v>
      </c>
      <c r="F12" s="159" t="str">
        <f>+VLOOKUP(A12,'Estado SCI'!$A$16:$I$59,9,0)</f>
        <v>Mantenimiento del control</v>
      </c>
      <c r="G12" s="159">
        <f>+VLOOKUP(A12,'Estado SCI'!$A$16:$L$59,12,0)</f>
        <v>20.123456789123448</v>
      </c>
      <c r="H12" s="159">
        <f t="shared" si="0"/>
        <v>11</v>
      </c>
      <c r="I12" s="159" t="str">
        <f>+IF(VLOOKUP(A12,'Estado SCI'!$A$16:$G$59,7,0)="","",VLOOKUP(A12,'Estado SCI'!$A$16:$G$59,7,0))</f>
        <v>Si</v>
      </c>
      <c r="J12" s="160">
        <f t="shared" si="2"/>
        <v>1</v>
      </c>
      <c r="K12" s="161">
        <f t="shared" si="1"/>
        <v>0.75</v>
      </c>
    </row>
    <row r="13" spans="1:11" x14ac:dyDescent="0.25">
      <c r="A13" s="159" t="s">
        <v>154</v>
      </c>
      <c r="B13" s="159" t="s">
        <v>32</v>
      </c>
      <c r="C13" s="159" t="s">
        <v>33</v>
      </c>
      <c r="D13" s="159" t="s">
        <v>58</v>
      </c>
      <c r="E13" s="159" t="s">
        <v>59</v>
      </c>
      <c r="F13" s="159" t="str">
        <f>+VLOOKUP(A13,'Estado SCI'!$A$16:$I$59,9,0)</f>
        <v>Mantenimiento del control</v>
      </c>
      <c r="G13" s="159">
        <f>+VLOOKUP(A13,'Estado SCI'!$A$16:$L$59,12,0)</f>
        <v>20.123456789123455</v>
      </c>
      <c r="H13" s="159">
        <f t="shared" si="0"/>
        <v>12</v>
      </c>
      <c r="I13" s="159" t="str">
        <f>+IF(VLOOKUP(A13,'Estado SCI'!$A$16:$G$59,7,0)="","",VLOOKUP(A13,'Estado SCI'!$A$16:$G$59,7,0))</f>
        <v>Si</v>
      </c>
      <c r="J13" s="160">
        <f t="shared" si="2"/>
        <v>1</v>
      </c>
      <c r="K13" s="161">
        <f t="shared" si="1"/>
        <v>0.75</v>
      </c>
    </row>
    <row r="14" spans="1:11" ht="15" customHeight="1" x14ac:dyDescent="0.25">
      <c r="A14" s="159" t="s">
        <v>155</v>
      </c>
      <c r="B14" s="159" t="str">
        <f>+VLOOKUP(A14,'Estado SCI'!$A$16:$C$59,3,0)</f>
        <v>EVALUACION DEL RIESGO</v>
      </c>
      <c r="C14" s="159" t="s">
        <v>62</v>
      </c>
      <c r="D14" s="159" t="s">
        <v>34</v>
      </c>
      <c r="E14" s="159" t="s">
        <v>156</v>
      </c>
      <c r="F14" s="159" t="str">
        <f>+VLOOKUP(A14,'Estado SCI'!$A$16:$I$59,9,0)</f>
        <v>Deficiencia de control</v>
      </c>
      <c r="G14" s="159">
        <f>+VLOOKUP(A14,'Estado SCI'!$A$16:$L$59,12,0)</f>
        <v>20.23</v>
      </c>
      <c r="H14" s="159">
        <f t="shared" si="0"/>
        <v>13</v>
      </c>
      <c r="I14" s="159" t="str">
        <f>+IF(VLOOKUP(A14,'Estado SCI'!$A$16:$G$59,7,0)="","",VLOOKUP(A14,'Estado SCI'!$A$16:$G$59,7,0))</f>
        <v>No</v>
      </c>
      <c r="J14" s="160">
        <f t="shared" si="2"/>
        <v>0</v>
      </c>
      <c r="K14" s="161">
        <f t="shared" si="1"/>
        <v>0.2</v>
      </c>
    </row>
    <row r="15" spans="1:11" ht="15" customHeight="1" x14ac:dyDescent="0.25">
      <c r="A15" s="159" t="s">
        <v>157</v>
      </c>
      <c r="B15" s="159" t="s">
        <v>61</v>
      </c>
      <c r="C15" s="159" t="s">
        <v>62</v>
      </c>
      <c r="D15" s="159" t="s">
        <v>37</v>
      </c>
      <c r="E15" s="159" t="s">
        <v>158</v>
      </c>
      <c r="F15" s="159" t="str">
        <f>+VLOOKUP(A15,'Estado SCI'!$A$16:$I$59,9,0)</f>
        <v>Mantenimiento del control</v>
      </c>
      <c r="G15" s="159">
        <f>+VLOOKUP(A15,'Estado SCI'!$A$16:$L$59,12,0)</f>
        <v>40.234000000000002</v>
      </c>
      <c r="H15" s="159">
        <f t="shared" si="0"/>
        <v>22</v>
      </c>
      <c r="I15" s="159" t="str">
        <f>+IF(VLOOKUP(A15,'Estado SCI'!$A$16:$G$59,7,0)="","",VLOOKUP(A15,'Estado SCI'!$A$16:$G$59,7,0))</f>
        <v>Si</v>
      </c>
      <c r="J15" s="160">
        <f t="shared" si="2"/>
        <v>1</v>
      </c>
      <c r="K15" s="161">
        <f t="shared" si="1"/>
        <v>0.2</v>
      </c>
    </row>
    <row r="16" spans="1:11" ht="15" customHeight="1" x14ac:dyDescent="0.25">
      <c r="A16" s="159" t="s">
        <v>159</v>
      </c>
      <c r="B16" s="159" t="s">
        <v>61</v>
      </c>
      <c r="C16" s="159" t="s">
        <v>62</v>
      </c>
      <c r="D16" s="159" t="s">
        <v>40</v>
      </c>
      <c r="E16" s="159" t="s">
        <v>160</v>
      </c>
      <c r="F16" s="159" t="str">
        <f>+VLOOKUP(A16,'Estado SCI'!$A$16:$I$59,9,0)</f>
        <v>Deficiencia de control</v>
      </c>
      <c r="G16" s="159">
        <f>+VLOOKUP(A16,'Estado SCI'!$A$16:$L$59,12,0)</f>
        <v>20.234500000000001</v>
      </c>
      <c r="H16" s="159">
        <f t="shared" si="0"/>
        <v>14</v>
      </c>
      <c r="I16" s="159" t="str">
        <f>+IF(VLOOKUP(A16,'Estado SCI'!$A$16:$G$59,7,0)="","",VLOOKUP(A16,'Estado SCI'!$A$16:$G$59,7,0))</f>
        <v>No</v>
      </c>
      <c r="J16" s="160">
        <f t="shared" si="2"/>
        <v>0</v>
      </c>
      <c r="K16" s="161">
        <f t="shared" si="1"/>
        <v>0.2</v>
      </c>
    </row>
    <row r="17" spans="1:11" ht="15.75" customHeight="1" x14ac:dyDescent="0.25">
      <c r="A17" s="159" t="s">
        <v>161</v>
      </c>
      <c r="B17" s="159" t="s">
        <v>61</v>
      </c>
      <c r="C17" s="159" t="s">
        <v>62</v>
      </c>
      <c r="D17" s="159" t="s">
        <v>42</v>
      </c>
      <c r="E17" s="159" t="s">
        <v>66</v>
      </c>
      <c r="F17" s="159" t="str">
        <f>+VLOOKUP(A17,'Estado SCI'!$A$16:$I$59,9,0)</f>
        <v>Deficiencia de control</v>
      </c>
      <c r="G17" s="159">
        <f>+VLOOKUP(A17,'Estado SCI'!$A$16:$L$59,12,0)</f>
        <v>20.234559999999998</v>
      </c>
      <c r="H17" s="159">
        <f t="shared" si="0"/>
        <v>15</v>
      </c>
      <c r="I17" s="159" t="str">
        <f>+IF(VLOOKUP(A17,'Estado SCI'!$A$16:$G$59,7,0)="","",VLOOKUP(A17,'Estado SCI'!$A$16:$G$59,7,0))</f>
        <v>No</v>
      </c>
      <c r="J17" s="160">
        <f t="shared" si="2"/>
        <v>0</v>
      </c>
      <c r="K17" s="161">
        <f t="shared" si="1"/>
        <v>0.2</v>
      </c>
    </row>
    <row r="18" spans="1:11" ht="15" customHeight="1" x14ac:dyDescent="0.25">
      <c r="A18" s="159" t="s">
        <v>162</v>
      </c>
      <c r="B18" s="159" t="s">
        <v>61</v>
      </c>
      <c r="C18" s="159" t="s">
        <v>80</v>
      </c>
      <c r="D18" s="159" t="s">
        <v>34</v>
      </c>
      <c r="E18" s="159" t="s">
        <v>69</v>
      </c>
      <c r="F18" s="159" t="str">
        <f>+VLOOKUP(A18,'Estado SCI'!$A$16:$I$59,9,0)</f>
        <v>Deficiencia de control</v>
      </c>
      <c r="G18" s="159">
        <f>+VLOOKUP(A18,'Estado SCI'!$A$16:$L$59,12,0)</f>
        <v>20.234566999999998</v>
      </c>
      <c r="H18" s="159">
        <f t="shared" si="0"/>
        <v>16</v>
      </c>
      <c r="I18" s="159" t="str">
        <f>+IF(VLOOKUP(A18,'Estado SCI'!$A$16:$G$59,7,0)="","",VLOOKUP(A18,'Estado SCI'!$A$16:$G$59,7,0))</f>
        <v>No</v>
      </c>
      <c r="J18" s="160">
        <f t="shared" si="2"/>
        <v>0</v>
      </c>
      <c r="K18" s="161">
        <f t="shared" si="1"/>
        <v>0.2</v>
      </c>
    </row>
    <row r="19" spans="1:11" ht="15" customHeight="1" x14ac:dyDescent="0.25">
      <c r="A19" s="159" t="s">
        <v>163</v>
      </c>
      <c r="B19" s="159" t="s">
        <v>61</v>
      </c>
      <c r="C19" s="159" t="s">
        <v>80</v>
      </c>
      <c r="D19" s="159" t="s">
        <v>37</v>
      </c>
      <c r="E19" s="159" t="s">
        <v>70</v>
      </c>
      <c r="F19" s="159" t="str">
        <f>+VLOOKUP(A19,'Estado SCI'!$A$16:$I$59,9,0)</f>
        <v>Deficiencia de control</v>
      </c>
      <c r="G19" s="159">
        <f>+VLOOKUP(A19,'Estado SCI'!$A$16:$L$59,12,0)</f>
        <v>20.234567800000001</v>
      </c>
      <c r="H19" s="159">
        <f t="shared" si="0"/>
        <v>17</v>
      </c>
      <c r="I19" s="159" t="str">
        <f>+IF(VLOOKUP(A19,'Estado SCI'!$A$16:$G$59,7,0)="","",VLOOKUP(A19,'Estado SCI'!$A$16:$G$59,7,0))</f>
        <v>No</v>
      </c>
      <c r="J19" s="160">
        <f t="shared" si="2"/>
        <v>0</v>
      </c>
      <c r="K19" s="161">
        <f t="shared" si="1"/>
        <v>0.2</v>
      </c>
    </row>
    <row r="20" spans="1:11" ht="15" customHeight="1" x14ac:dyDescent="0.25">
      <c r="A20" s="159" t="s">
        <v>164</v>
      </c>
      <c r="B20" s="159" t="s">
        <v>61</v>
      </c>
      <c r="C20" s="159" t="s">
        <v>80</v>
      </c>
      <c r="D20" s="159" t="s">
        <v>40</v>
      </c>
      <c r="E20" s="159" t="s">
        <v>71</v>
      </c>
      <c r="F20" s="159" t="str">
        <f>+VLOOKUP(A20,'Estado SCI'!$A$16:$I$59,9,0)</f>
        <v>Deficiencia de control</v>
      </c>
      <c r="G20" s="159">
        <f>+VLOOKUP(A20,'Estado SCI'!$A$16:$L$59,12,0)</f>
        <v>20.234567890000001</v>
      </c>
      <c r="H20" s="159">
        <f t="shared" si="0"/>
        <v>18</v>
      </c>
      <c r="I20" s="159" t="str">
        <f>+IF(VLOOKUP(A20,'Estado SCI'!$A$16:$G$59,7,0)="","",VLOOKUP(A20,'Estado SCI'!$A$16:$G$59,7,0))</f>
        <v>No</v>
      </c>
      <c r="J20" s="160">
        <f t="shared" si="2"/>
        <v>0</v>
      </c>
      <c r="K20" s="161">
        <f t="shared" si="1"/>
        <v>0.2</v>
      </c>
    </row>
    <row r="21" spans="1:11" ht="15.75" customHeight="1" x14ac:dyDescent="0.25">
      <c r="A21" s="159" t="s">
        <v>165</v>
      </c>
      <c r="B21" s="159" t="s">
        <v>61</v>
      </c>
      <c r="C21" s="159" t="s">
        <v>80</v>
      </c>
      <c r="D21" s="159" t="s">
        <v>34</v>
      </c>
      <c r="E21" s="159" t="s">
        <v>74</v>
      </c>
      <c r="F21" s="159" t="str">
        <f>+VLOOKUP(A21,'Estado SCI'!$A$16:$I$59,9,0)</f>
        <v>Oportunidad de mejora</v>
      </c>
      <c r="G21" s="159">
        <f>+VLOOKUP(A21,'Estado SCI'!$A$16:$L$59,12,0)</f>
        <v>30.234567891200001</v>
      </c>
      <c r="H21" s="159">
        <f t="shared" si="0"/>
        <v>20</v>
      </c>
      <c r="I21" s="159" t="str">
        <f>+IF(VLOOKUP(A21,'Estado SCI'!$A$16:$G$59,7,0)="","",VLOOKUP(A21,'Estado SCI'!$A$16:$G$59,7,0))</f>
        <v>En proceso</v>
      </c>
      <c r="J21" s="160">
        <f t="shared" si="2"/>
        <v>0.5</v>
      </c>
      <c r="K21" s="161">
        <f t="shared" si="1"/>
        <v>0.2</v>
      </c>
    </row>
    <row r="22" spans="1:11" ht="15" customHeight="1" x14ac:dyDescent="0.25">
      <c r="A22" s="159" t="s">
        <v>166</v>
      </c>
      <c r="B22" s="159" t="s">
        <v>61</v>
      </c>
      <c r="C22" s="159" t="s">
        <v>88</v>
      </c>
      <c r="D22" s="159" t="s">
        <v>37</v>
      </c>
      <c r="E22" s="159" t="s">
        <v>75</v>
      </c>
      <c r="F22" s="159" t="str">
        <f>+VLOOKUP(A22,'Estado SCI'!$A$16:$I$59,9,0)</f>
        <v>Oportunidad de mejora</v>
      </c>
      <c r="G22" s="159">
        <f>+VLOOKUP(A22,'Estado SCI'!$A$16:$L$59,12,0)</f>
        <v>30.23456789123</v>
      </c>
      <c r="H22" s="159">
        <f t="shared" si="0"/>
        <v>21</v>
      </c>
      <c r="I22" s="159" t="str">
        <f>+IF(VLOOKUP(A22,'Estado SCI'!$A$16:$G$59,7,0)="","",VLOOKUP(A22,'Estado SCI'!$A$16:$G$59,7,0))</f>
        <v>En proceso</v>
      </c>
      <c r="J22" s="160">
        <f t="shared" si="2"/>
        <v>0.5</v>
      </c>
      <c r="K22" s="161">
        <f t="shared" si="1"/>
        <v>0.2</v>
      </c>
    </row>
    <row r="23" spans="1:11" ht="15" customHeight="1" x14ac:dyDescent="0.25">
      <c r="A23" s="159" t="s">
        <v>167</v>
      </c>
      <c r="B23" s="159" t="s">
        <v>61</v>
      </c>
      <c r="C23" s="159" t="s">
        <v>88</v>
      </c>
      <c r="D23" s="159" t="s">
        <v>40</v>
      </c>
      <c r="E23" s="159" t="s">
        <v>77</v>
      </c>
      <c r="F23" s="159" t="str">
        <f>+VLOOKUP(A23,'Estado SCI'!$A$16:$I$59,9,0)</f>
        <v>Deficiencia de control</v>
      </c>
      <c r="G23" s="159">
        <f>+VLOOKUP(A23,'Estado SCI'!$A$16:$L$59,12,0)</f>
        <v>20.234567891234001</v>
      </c>
      <c r="H23" s="159">
        <f t="shared" si="0"/>
        <v>19</v>
      </c>
      <c r="I23" s="159" t="str">
        <f>+IF(VLOOKUP(A23,'Estado SCI'!$A$16:$G$59,7,0)="","",VLOOKUP(A23,'Estado SCI'!$A$16:$G$59,7,0))</f>
        <v>No</v>
      </c>
      <c r="J23" s="160">
        <f t="shared" si="2"/>
        <v>0</v>
      </c>
      <c r="K23" s="161">
        <f t="shared" si="1"/>
        <v>0.2</v>
      </c>
    </row>
    <row r="24" spans="1:11" ht="15" customHeight="1" x14ac:dyDescent="0.25">
      <c r="A24" s="159" t="s">
        <v>168</v>
      </c>
      <c r="B24" s="159" t="str">
        <f>+VLOOKUP(A24,'Estado SCI'!$A$16:$C$59,3,0)</f>
        <v>ACTIVIDADES DE CONTROL</v>
      </c>
      <c r="C24" s="159" t="s">
        <v>88</v>
      </c>
      <c r="D24" s="159" t="s">
        <v>34</v>
      </c>
      <c r="E24" s="159" t="s">
        <v>81</v>
      </c>
      <c r="F24" s="159" t="str">
        <f>+VLOOKUP(A24,'Estado SCI'!$A$16:$I$59,9,0)</f>
        <v>Mantenimiento del control</v>
      </c>
      <c r="G24" s="159">
        <f>+VLOOKUP(A24,'Estado SCI'!$A$16:$L$59,12,0)</f>
        <v>60.31</v>
      </c>
      <c r="H24" s="159">
        <f t="shared" si="0"/>
        <v>25</v>
      </c>
      <c r="I24" s="159" t="str">
        <f>+IF(VLOOKUP(A24,'Estado SCI'!$A$16:$G$59,7,0)="","",VLOOKUP(A24,'Estado SCI'!$A$16:$G$59,7,0))</f>
        <v>Si</v>
      </c>
      <c r="J24" s="160">
        <f t="shared" si="2"/>
        <v>1</v>
      </c>
      <c r="K24" s="161">
        <f t="shared" si="1"/>
        <v>0.7</v>
      </c>
    </row>
    <row r="25" spans="1:11" ht="15" customHeight="1" x14ac:dyDescent="0.25">
      <c r="A25" s="159" t="s">
        <v>169</v>
      </c>
      <c r="B25" s="159" t="s">
        <v>79</v>
      </c>
      <c r="C25" s="159" t="s">
        <v>88</v>
      </c>
      <c r="D25" s="159" t="s">
        <v>37</v>
      </c>
      <c r="E25" s="159" t="s">
        <v>82</v>
      </c>
      <c r="F25" s="159" t="str">
        <f>+VLOOKUP(A25,'Estado SCI'!$A$16:$I$59,9,0)</f>
        <v>Mantenimiento del control</v>
      </c>
      <c r="G25" s="159">
        <f>+VLOOKUP(A25,'Estado SCI'!$A$16:$L$59,12,0)</f>
        <v>60.323</v>
      </c>
      <c r="H25" s="159">
        <f t="shared" si="0"/>
        <v>26</v>
      </c>
      <c r="I25" s="159" t="str">
        <f>+IF(VLOOKUP(A25,'Estado SCI'!$A$16:$G$59,7,0)="","",VLOOKUP(A25,'Estado SCI'!$A$16:$G$59,7,0))</f>
        <v>Si</v>
      </c>
      <c r="J25" s="160">
        <f t="shared" si="2"/>
        <v>1</v>
      </c>
      <c r="K25" s="161">
        <f t="shared" si="1"/>
        <v>0.7</v>
      </c>
    </row>
    <row r="26" spans="1:11" ht="15" customHeight="1" x14ac:dyDescent="0.25">
      <c r="A26" s="159" t="s">
        <v>170</v>
      </c>
      <c r="B26" s="159" t="s">
        <v>79</v>
      </c>
      <c r="C26" s="159" t="s">
        <v>88</v>
      </c>
      <c r="D26" s="159" t="s">
        <v>40</v>
      </c>
      <c r="E26" s="159" t="s">
        <v>83</v>
      </c>
      <c r="F26" s="159" t="str">
        <f>+VLOOKUP(A26,'Estado SCI'!$A$16:$I$59,9,0)</f>
        <v>Oportunidad de mejora</v>
      </c>
      <c r="G26" s="159">
        <f>+VLOOKUP(A26,'Estado SCI'!$A$16:$L$59,12,0)</f>
        <v>50.323999999999998</v>
      </c>
      <c r="H26" s="159">
        <f t="shared" si="0"/>
        <v>24</v>
      </c>
      <c r="I26" s="159" t="str">
        <f>+IF(VLOOKUP(A26,'Estado SCI'!$A$16:$G$59,7,0)="","",VLOOKUP(A26,'Estado SCI'!$A$16:$G$59,7,0))</f>
        <v>En proceso</v>
      </c>
      <c r="J26" s="160">
        <f t="shared" si="2"/>
        <v>0.5</v>
      </c>
      <c r="K26" s="161">
        <f t="shared" si="1"/>
        <v>0.7</v>
      </c>
    </row>
    <row r="27" spans="1:11" ht="15.75" customHeight="1" x14ac:dyDescent="0.25">
      <c r="A27" s="159" t="s">
        <v>171</v>
      </c>
      <c r="B27" s="159" t="s">
        <v>79</v>
      </c>
      <c r="C27" s="159" t="s">
        <v>88</v>
      </c>
      <c r="D27" s="159" t="s">
        <v>42</v>
      </c>
      <c r="E27" s="159" t="s">
        <v>84</v>
      </c>
      <c r="F27" s="159" t="str">
        <f>+VLOOKUP(A27,'Estado SCI'!$A$16:$I$59,9,0)</f>
        <v>Deficiencia de control</v>
      </c>
      <c r="G27" s="159">
        <f>+VLOOKUP(A27,'Estado SCI'!$A$16:$L$59,12,0)</f>
        <v>40.325000000000003</v>
      </c>
      <c r="H27" s="159">
        <f t="shared" si="0"/>
        <v>23</v>
      </c>
      <c r="I27" s="159" t="str">
        <f>+IF(VLOOKUP(A27,'Estado SCI'!$A$16:$G$59,7,0)="","",VLOOKUP(A27,'Estado SCI'!$A$16:$G$59,7,0))</f>
        <v>No</v>
      </c>
      <c r="J27" s="160">
        <f t="shared" si="2"/>
        <v>0</v>
      </c>
      <c r="K27" s="161">
        <f t="shared" si="1"/>
        <v>0.7</v>
      </c>
    </row>
    <row r="28" spans="1:11" ht="15" customHeight="1" x14ac:dyDescent="0.25">
      <c r="A28" s="159" t="s">
        <v>172</v>
      </c>
      <c r="B28" s="159" t="s">
        <v>79</v>
      </c>
      <c r="C28" s="159" t="s">
        <v>98</v>
      </c>
      <c r="D28" s="159" t="s">
        <v>44</v>
      </c>
      <c r="E28" s="159" t="s">
        <v>85</v>
      </c>
      <c r="F28" s="159" t="str">
        <f>+VLOOKUP(A28,'Estado SCI'!$A$16:$I$59,9,0)</f>
        <v>Mantenimiento del control</v>
      </c>
      <c r="G28" s="159">
        <f>+VLOOKUP(A28,'Estado SCI'!$A$16:$L$59,12,0)</f>
        <v>60.326000000000001</v>
      </c>
      <c r="H28" s="159">
        <f t="shared" si="0"/>
        <v>27</v>
      </c>
      <c r="I28" s="159" t="str">
        <f>+IF(VLOOKUP(A28,'Estado SCI'!$A$16:$G$59,7,0)="","",VLOOKUP(A28,'Estado SCI'!$A$16:$G$59,7,0))</f>
        <v>Si</v>
      </c>
      <c r="J28" s="160">
        <f t="shared" si="2"/>
        <v>1</v>
      </c>
      <c r="K28" s="161">
        <f t="shared" si="1"/>
        <v>0.7</v>
      </c>
    </row>
    <row r="29" spans="1:11" ht="15" customHeight="1" x14ac:dyDescent="0.25">
      <c r="A29" s="159" t="s">
        <v>173</v>
      </c>
      <c r="B29" s="159" t="str">
        <f>+VLOOKUP(A29,'Estado SCI'!$A$16:$C$59,3,0)</f>
        <v>INFORMACION Y COMUNICACIÓN</v>
      </c>
      <c r="C29" s="159" t="s">
        <v>98</v>
      </c>
      <c r="D29" s="159" t="s">
        <v>34</v>
      </c>
      <c r="E29" s="159" t="s">
        <v>89</v>
      </c>
      <c r="F29" s="159" t="str">
        <f>+VLOOKUP(A29,'Estado SCI'!$A$16:$I$59,9,0)</f>
        <v>Mantenimiento del control</v>
      </c>
      <c r="G29" s="159">
        <f>+VLOOKUP(A29,'Estado SCI'!$A$16:$L$59,12,0)</f>
        <v>80.412000000000006</v>
      </c>
      <c r="H29" s="159">
        <f t="shared" si="0"/>
        <v>31</v>
      </c>
      <c r="I29" s="159" t="str">
        <f>+IF(VLOOKUP(A29,'Estado SCI'!$A$16:$G$59,7,0)="","",VLOOKUP(A29,'Estado SCI'!$A$16:$G$59,7,0))</f>
        <v>Si</v>
      </c>
      <c r="J29" s="160">
        <f t="shared" si="2"/>
        <v>1</v>
      </c>
      <c r="K29" s="161">
        <f t="shared" si="1"/>
        <v>0.5714285714285714</v>
      </c>
    </row>
    <row r="30" spans="1:11" ht="15" customHeight="1" x14ac:dyDescent="0.25">
      <c r="A30" s="159" t="s">
        <v>174</v>
      </c>
      <c r="B30" s="159" t="s">
        <v>87</v>
      </c>
      <c r="C30" s="159" t="s">
        <v>98</v>
      </c>
      <c r="D30" s="159" t="s">
        <v>37</v>
      </c>
      <c r="E30" s="159" t="s">
        <v>90</v>
      </c>
      <c r="F30" s="159" t="str">
        <f>+VLOOKUP(A30,'Estado SCI'!$A$16:$I$59,9,0)</f>
        <v>Mantenimiento del control</v>
      </c>
      <c r="G30" s="159">
        <f>+VLOOKUP(A30,'Estado SCI'!$A$16:$L$59,12,0)</f>
        <v>80.412300000000002</v>
      </c>
      <c r="H30" s="159">
        <f t="shared" si="0"/>
        <v>32</v>
      </c>
      <c r="I30" s="159" t="str">
        <f>+IF(VLOOKUP(A30,'Estado SCI'!$A$16:$G$59,7,0)="","",VLOOKUP(A30,'Estado SCI'!$A$16:$G$59,7,0))</f>
        <v>Si</v>
      </c>
      <c r="J30" s="160">
        <f t="shared" si="2"/>
        <v>1</v>
      </c>
      <c r="K30" s="161">
        <f t="shared" si="1"/>
        <v>0.5714285714285714</v>
      </c>
    </row>
    <row r="31" spans="1:11" ht="15.75" customHeight="1" x14ac:dyDescent="0.25">
      <c r="A31" s="159" t="s">
        <v>175</v>
      </c>
      <c r="B31" s="159" t="s">
        <v>87</v>
      </c>
      <c r="C31" s="159" t="s">
        <v>98</v>
      </c>
      <c r="D31" s="159" t="s">
        <v>40</v>
      </c>
      <c r="E31" s="159" t="s">
        <v>91</v>
      </c>
      <c r="F31" s="159" t="str">
        <f>+VLOOKUP(A31,'Estado SCI'!$A$16:$I$59,9,0)</f>
        <v>Mantenimiento del control</v>
      </c>
      <c r="G31" s="159">
        <f>+VLOOKUP(A31,'Estado SCI'!$A$16:$L$59,12,0)</f>
        <v>80.41234</v>
      </c>
      <c r="H31" s="159">
        <f t="shared" si="0"/>
        <v>33</v>
      </c>
      <c r="I31" s="159" t="str">
        <f>+IF(VLOOKUP(A31,'Estado SCI'!$A$16:$G$59,7,0)="","",VLOOKUP(A31,'Estado SCI'!$A$16:$G$59,7,0))</f>
        <v>Si</v>
      </c>
      <c r="J31" s="160">
        <f t="shared" si="2"/>
        <v>1</v>
      </c>
      <c r="K31" s="161">
        <f t="shared" si="1"/>
        <v>0.5714285714285714</v>
      </c>
    </row>
    <row r="32" spans="1:11" x14ac:dyDescent="0.25">
      <c r="A32" s="159" t="s">
        <v>176</v>
      </c>
      <c r="B32" s="159" t="s">
        <v>87</v>
      </c>
      <c r="C32" s="159" t="s">
        <v>104</v>
      </c>
      <c r="D32" s="159" t="s">
        <v>42</v>
      </c>
      <c r="E32" s="159" t="s">
        <v>92</v>
      </c>
      <c r="F32" s="159" t="str">
        <f>+VLOOKUP(A32,'Estado SCI'!$A$16:$I$59,9,0)</f>
        <v>Deficiencia de control</v>
      </c>
      <c r="G32" s="159">
        <f>+VLOOKUP(A32,'Estado SCI'!$A$16:$L$59,12,0)</f>
        <v>60.412345000000002</v>
      </c>
      <c r="H32" s="159">
        <f t="shared" si="0"/>
        <v>28</v>
      </c>
      <c r="I32" s="159" t="str">
        <f>+IF(VLOOKUP(A32,'Estado SCI'!$A$16:$G$59,7,0)="","",VLOOKUP(A32,'Estado SCI'!$A$16:$G$59,7,0))</f>
        <v>No</v>
      </c>
      <c r="J32" s="160">
        <f t="shared" si="2"/>
        <v>0</v>
      </c>
      <c r="K32" s="161">
        <f t="shared" si="1"/>
        <v>0.5714285714285714</v>
      </c>
    </row>
    <row r="33" spans="1:11" x14ac:dyDescent="0.25">
      <c r="A33" s="159" t="s">
        <v>177</v>
      </c>
      <c r="B33" s="159" t="s">
        <v>87</v>
      </c>
      <c r="C33" s="159" t="s">
        <v>178</v>
      </c>
      <c r="D33" s="159" t="s">
        <v>44</v>
      </c>
      <c r="E33" s="159" t="s">
        <v>93</v>
      </c>
      <c r="F33" s="159" t="str">
        <f>+VLOOKUP(A33,'Estado SCI'!$A$16:$I$59,9,0)</f>
        <v>Mantenimiento del control</v>
      </c>
      <c r="G33" s="159">
        <f>+VLOOKUP(A33,'Estado SCI'!$A$16:$L$59,12,0)</f>
        <v>80.412345599999995</v>
      </c>
      <c r="H33" s="159">
        <f t="shared" si="0"/>
        <v>34</v>
      </c>
      <c r="I33" s="159" t="str">
        <f>+IF(VLOOKUP(A33,'Estado SCI'!$A$16:$G$59,7,0)="","",VLOOKUP(A33,'Estado SCI'!$A$16:$G$59,7,0))</f>
        <v>Si</v>
      </c>
      <c r="J33" s="160">
        <f t="shared" si="2"/>
        <v>1</v>
      </c>
      <c r="K33" s="161">
        <f t="shared" si="1"/>
        <v>0.5714285714285714</v>
      </c>
    </row>
    <row r="34" spans="1:11" x14ac:dyDescent="0.25">
      <c r="A34" s="159" t="s">
        <v>179</v>
      </c>
      <c r="B34" s="159" t="s">
        <v>87</v>
      </c>
      <c r="C34" s="159" t="s">
        <v>178</v>
      </c>
      <c r="D34" s="159" t="s">
        <v>46</v>
      </c>
      <c r="E34" s="159" t="s">
        <v>94</v>
      </c>
      <c r="F34" s="159" t="str">
        <f>+VLOOKUP(A34,'Estado SCI'!$A$16:$I$59,9,0)</f>
        <v>Deficiencia de control</v>
      </c>
      <c r="G34" s="159">
        <f>+VLOOKUP(A34,'Estado SCI'!$A$16:$L$59,12,0)</f>
        <v>60.412345670000001</v>
      </c>
      <c r="H34" s="159">
        <f t="shared" si="0"/>
        <v>29</v>
      </c>
      <c r="I34" s="159" t="str">
        <f>+IF(VLOOKUP(A34,'Estado SCI'!$A$16:$G$59,7,0)="","",VLOOKUP(A34,'Estado SCI'!$A$16:$G$59,7,0))</f>
        <v>No</v>
      </c>
      <c r="J34" s="160">
        <f t="shared" si="2"/>
        <v>0</v>
      </c>
      <c r="K34" s="161">
        <f t="shared" si="1"/>
        <v>0.5714285714285714</v>
      </c>
    </row>
    <row r="35" spans="1:11" x14ac:dyDescent="0.25">
      <c r="A35" s="159" t="s">
        <v>180</v>
      </c>
      <c r="B35" s="159" t="s">
        <v>87</v>
      </c>
      <c r="C35" s="159" t="s">
        <v>178</v>
      </c>
      <c r="D35" s="159" t="s">
        <v>48</v>
      </c>
      <c r="E35" s="159" t="s">
        <v>95</v>
      </c>
      <c r="F35" s="159" t="str">
        <f>+VLOOKUP(A35,'Estado SCI'!$A$16:$I$59,9,0)</f>
        <v>Deficiencia de control</v>
      </c>
      <c r="G35" s="159">
        <f>+VLOOKUP(A35,'Estado SCI'!$A$16:$L$59,12,0)</f>
        <v>60.412345678000001</v>
      </c>
      <c r="H35" s="159">
        <f t="shared" si="0"/>
        <v>30</v>
      </c>
      <c r="I35" s="159" t="str">
        <f>+IF(VLOOKUP(A35,'Estado SCI'!$A$16:$G$59,7,0)="","",VLOOKUP(A35,'Estado SCI'!$A$16:$G$59,7,0))</f>
        <v>No</v>
      </c>
      <c r="J35" s="160">
        <f t="shared" si="2"/>
        <v>0</v>
      </c>
      <c r="K35" s="161">
        <f t="shared" si="1"/>
        <v>0.5714285714285714</v>
      </c>
    </row>
    <row r="36" spans="1:11" x14ac:dyDescent="0.25">
      <c r="A36" s="159" t="s">
        <v>181</v>
      </c>
      <c r="B36" s="159" t="str">
        <f>+VLOOKUP(A36,'Estado SCI'!$A$16:$C$59,3,0)</f>
        <v>ACTIVIDADES DE MONITOREO</v>
      </c>
      <c r="C36" s="159" t="s">
        <v>178</v>
      </c>
      <c r="D36" s="159" t="s">
        <v>34</v>
      </c>
      <c r="E36" s="159" t="s">
        <v>99</v>
      </c>
      <c r="F36" s="159" t="str">
        <f>+VLOOKUP(A36,'Estado SCI'!$A$16:$I$59,9,0)</f>
        <v>Oportunidad de mejora</v>
      </c>
      <c r="G36" s="159">
        <f>+VLOOKUP(A36,'Estado SCI'!$A$16:$L$59,12,0)</f>
        <v>100.851</v>
      </c>
      <c r="H36" s="159">
        <f t="shared" si="0"/>
        <v>38</v>
      </c>
      <c r="I36" s="159" t="str">
        <f>+IF(VLOOKUP(A36,'Estado SCI'!$A$16:$G$59,7,0)="","",VLOOKUP(A36,'Estado SCI'!$A$16:$G$59,7,0))</f>
        <v>En proceso</v>
      </c>
      <c r="J36" s="160">
        <f t="shared" si="2"/>
        <v>0.5</v>
      </c>
      <c r="K36" s="161">
        <f t="shared" si="1"/>
        <v>0.55000000000000004</v>
      </c>
    </row>
    <row r="37" spans="1:11" x14ac:dyDescent="0.25">
      <c r="A37" s="159" t="s">
        <v>182</v>
      </c>
      <c r="B37" s="159" t="s">
        <v>97</v>
      </c>
      <c r="C37" s="159" t="s">
        <v>178</v>
      </c>
      <c r="D37" s="159" t="s">
        <v>42</v>
      </c>
      <c r="E37" s="159" t="s">
        <v>100</v>
      </c>
      <c r="F37" s="159" t="str">
        <f>+VLOOKUP(A37,'Estado SCI'!$A$16:$I$59,9,0)</f>
        <v>Oportunidad de mejora</v>
      </c>
      <c r="G37" s="159">
        <f>+VLOOKUP(A37,'Estado SCI'!$A$16:$L$59,12,0)</f>
        <v>100.85120000000001</v>
      </c>
      <c r="H37" s="159">
        <f t="shared" si="0"/>
        <v>39</v>
      </c>
      <c r="I37" s="159" t="str">
        <f>+IF(VLOOKUP(A37,'Estado SCI'!$A$16:$G$59,7,0)="","",VLOOKUP(A37,'Estado SCI'!$A$16:$G$59,7,0))</f>
        <v>En proceso</v>
      </c>
      <c r="J37" s="160">
        <f t="shared" si="2"/>
        <v>0.5</v>
      </c>
      <c r="K37" s="161">
        <f t="shared" si="1"/>
        <v>0.55000000000000004</v>
      </c>
    </row>
    <row r="38" spans="1:11" x14ac:dyDescent="0.25">
      <c r="A38" s="159" t="s">
        <v>183</v>
      </c>
      <c r="B38" s="159" t="s">
        <v>97</v>
      </c>
      <c r="C38" s="159" t="s">
        <v>68</v>
      </c>
      <c r="D38" s="159" t="s">
        <v>46</v>
      </c>
      <c r="E38" s="159" t="s">
        <v>101</v>
      </c>
      <c r="F38" s="159" t="str">
        <f>+VLOOKUP(A38,'Estado SCI'!$A$16:$I$59,9,0)</f>
        <v>Deficiencia de control</v>
      </c>
      <c r="G38" s="159">
        <f>+VLOOKUP(A38,'Estado SCI'!$A$16:$L$59,12,0)</f>
        <v>80.851230000000001</v>
      </c>
      <c r="H38" s="159">
        <f t="shared" si="0"/>
        <v>35</v>
      </c>
      <c r="I38" s="159" t="str">
        <f>+IF(VLOOKUP(A38,'Estado SCI'!$A$16:$G$59,7,0)="","",VLOOKUP(A38,'Estado SCI'!$A$16:$G$59,7,0))</f>
        <v>No</v>
      </c>
      <c r="J38" s="160">
        <f t="shared" si="2"/>
        <v>0</v>
      </c>
      <c r="K38" s="161">
        <f t="shared" si="1"/>
        <v>0.55000000000000004</v>
      </c>
    </row>
    <row r="39" spans="1:11" x14ac:dyDescent="0.25">
      <c r="A39" s="159" t="s">
        <v>184</v>
      </c>
      <c r="B39" s="159" t="s">
        <v>97</v>
      </c>
      <c r="C39" s="159" t="s">
        <v>68</v>
      </c>
      <c r="D39" s="159" t="s">
        <v>48</v>
      </c>
      <c r="E39" s="159" t="s">
        <v>102</v>
      </c>
      <c r="F39" s="159" t="str">
        <f>+VLOOKUP(A39,'Estado SCI'!$A$16:$I$59,9,0)</f>
        <v>Deficiencia de control</v>
      </c>
      <c r="G39" s="159">
        <f>+VLOOKUP(A39,'Estado SCI'!$A$16:$L$59,12,0)</f>
        <v>80.851234000000005</v>
      </c>
      <c r="H39" s="159">
        <f t="shared" si="0"/>
        <v>36</v>
      </c>
      <c r="I39" s="159" t="str">
        <f>+IF(VLOOKUP(A39,'Estado SCI'!$A$16:$G$59,7,0)="","",VLOOKUP(A39,'Estado SCI'!$A$16:$G$59,7,0))</f>
        <v>No</v>
      </c>
      <c r="J39" s="160">
        <f t="shared" si="2"/>
        <v>0</v>
      </c>
      <c r="K39" s="161">
        <f t="shared" si="1"/>
        <v>0.55000000000000004</v>
      </c>
    </row>
    <row r="40" spans="1:11" x14ac:dyDescent="0.25">
      <c r="A40" s="159" t="s">
        <v>185</v>
      </c>
      <c r="B40" s="159" t="s">
        <v>97</v>
      </c>
      <c r="C40" s="159" t="s">
        <v>68</v>
      </c>
      <c r="D40" s="159" t="s">
        <v>50</v>
      </c>
      <c r="E40" s="159" t="s">
        <v>105</v>
      </c>
      <c r="F40" s="159" t="str">
        <f>+VLOOKUP(A40,'Estado SCI'!$A$16:$I$59,9,0)</f>
        <v>Mantenimiento del control</v>
      </c>
      <c r="G40" s="159">
        <f>+VLOOKUP(A40,'Estado SCI'!$A$16:$L$59,12,0)</f>
        <v>120.8512345</v>
      </c>
      <c r="H40" s="159">
        <f t="shared" si="0"/>
        <v>41</v>
      </c>
      <c r="I40" s="159" t="str">
        <f>+IF(VLOOKUP(A40,'Estado SCI'!$A$16:$G$59,7,0)="","",VLOOKUP(A40,'Estado SCI'!$A$16:$G$59,7,0))</f>
        <v>Si</v>
      </c>
      <c r="J40" s="160">
        <f t="shared" si="2"/>
        <v>1</v>
      </c>
      <c r="K40" s="161">
        <f t="shared" si="1"/>
        <v>0.55000000000000004</v>
      </c>
    </row>
    <row r="41" spans="1:11" x14ac:dyDescent="0.25">
      <c r="A41" s="159" t="s">
        <v>186</v>
      </c>
      <c r="B41" s="159" t="s">
        <v>97</v>
      </c>
      <c r="C41" s="159" t="s">
        <v>68</v>
      </c>
      <c r="D41" s="159" t="s">
        <v>34</v>
      </c>
      <c r="E41" s="159" t="s">
        <v>108</v>
      </c>
      <c r="F41" s="159" t="str">
        <f>+VLOOKUP(A41,'Estado SCI'!$A$16:$I$59,9,0)</f>
        <v>Deficiencia de control</v>
      </c>
      <c r="G41" s="159">
        <f>+VLOOKUP(A41,'Estado SCI'!$A$16:$L$59,12,0)</f>
        <v>80.851234559999995</v>
      </c>
      <c r="H41" s="159">
        <f t="shared" si="0"/>
        <v>37</v>
      </c>
      <c r="I41" s="159" t="str">
        <f>+IF(VLOOKUP(A41,'Estado SCI'!$A$16:$G$59,7,0)="","",VLOOKUP(A41,'Estado SCI'!$A$16:$G$59,7,0))</f>
        <v>No</v>
      </c>
      <c r="J41" s="160">
        <f t="shared" si="2"/>
        <v>0</v>
      </c>
      <c r="K41" s="161">
        <f t="shared" si="1"/>
        <v>0.55000000000000004</v>
      </c>
    </row>
    <row r="42" spans="1:11" x14ac:dyDescent="0.25">
      <c r="A42" s="159" t="s">
        <v>187</v>
      </c>
      <c r="B42" s="159" t="s">
        <v>97</v>
      </c>
      <c r="C42" s="159" t="s">
        <v>73</v>
      </c>
      <c r="D42" s="159" t="s">
        <v>37</v>
      </c>
      <c r="E42" s="159" t="s">
        <v>109</v>
      </c>
      <c r="F42" s="159" t="str">
        <f>+VLOOKUP(A42,'Estado SCI'!$A$16:$I$59,9,0)</f>
        <v>Mantenimiento del control</v>
      </c>
      <c r="G42" s="159">
        <f>+VLOOKUP(A42,'Estado SCI'!$A$16:$L$59,12,0)</f>
        <v>120.85123456700001</v>
      </c>
      <c r="H42" s="159">
        <f t="shared" si="0"/>
        <v>42</v>
      </c>
      <c r="I42" s="159" t="str">
        <f>+IF(VLOOKUP(A42,'Estado SCI'!$A$16:$G$59,7,0)="","",VLOOKUP(A42,'Estado SCI'!$A$16:$G$59,7,0))</f>
        <v>Si</v>
      </c>
      <c r="J42" s="160">
        <f t="shared" si="2"/>
        <v>1</v>
      </c>
      <c r="K42" s="161">
        <f t="shared" si="1"/>
        <v>0.55000000000000004</v>
      </c>
    </row>
    <row r="43" spans="1:11" x14ac:dyDescent="0.25">
      <c r="A43" s="159" t="s">
        <v>188</v>
      </c>
      <c r="B43" s="159" t="s">
        <v>97</v>
      </c>
      <c r="C43" s="159" t="s">
        <v>73</v>
      </c>
      <c r="D43" s="159" t="s">
        <v>40</v>
      </c>
      <c r="E43" s="159" t="s">
        <v>110</v>
      </c>
      <c r="F43" s="159" t="str">
        <f>+VLOOKUP(A43,'Estado SCI'!$A$16:$I$59,9,0)</f>
        <v>Mantenimiento del control</v>
      </c>
      <c r="G43" s="159">
        <f>+VLOOKUP(A43,'Estado SCI'!$A$16:$L$59,12,0)</f>
        <v>120.85123456780001</v>
      </c>
      <c r="H43" s="159">
        <f t="shared" si="0"/>
        <v>43</v>
      </c>
      <c r="I43" s="159" t="str">
        <f>+IF(VLOOKUP(A43,'Estado SCI'!$A$16:$G$59,7,0)="","",VLOOKUP(A43,'Estado SCI'!$A$16:$G$59,7,0))</f>
        <v>Si</v>
      </c>
      <c r="J43" s="160">
        <f t="shared" si="2"/>
        <v>1</v>
      </c>
      <c r="K43" s="161">
        <f t="shared" si="1"/>
        <v>0.55000000000000004</v>
      </c>
    </row>
    <row r="44" spans="1:11" x14ac:dyDescent="0.25">
      <c r="A44" s="159" t="s">
        <v>189</v>
      </c>
      <c r="B44" s="159" t="s">
        <v>97</v>
      </c>
      <c r="C44" s="159" t="s">
        <v>73</v>
      </c>
      <c r="D44" s="159" t="s">
        <v>42</v>
      </c>
      <c r="E44" s="159" t="s">
        <v>111</v>
      </c>
      <c r="F44" s="159" t="str">
        <f>+VLOOKUP(A44,'Estado SCI'!$A$16:$I$59,9,0)</f>
        <v>Oportunidad de mejora</v>
      </c>
      <c r="G44" s="159">
        <f>+VLOOKUP(A44,'Estado SCI'!$A$16:$L$59,12,0)</f>
        <v>100.85123456789</v>
      </c>
      <c r="H44" s="159">
        <f t="shared" si="0"/>
        <v>40</v>
      </c>
      <c r="I44" s="159" t="str">
        <f>+IF(VLOOKUP(A44,'Estado SCI'!$A$16:$G$59,7,0)="","",VLOOKUP(A44,'Estado SCI'!$A$16:$G$59,7,0))</f>
        <v>En proceso</v>
      </c>
      <c r="J44" s="160">
        <f t="shared" si="2"/>
        <v>0.5</v>
      </c>
      <c r="K44" s="161">
        <f t="shared" si="1"/>
        <v>0.55000000000000004</v>
      </c>
    </row>
    <row r="45" spans="1:11" x14ac:dyDescent="0.25">
      <c r="A45" s="159" t="s">
        <v>190</v>
      </c>
      <c r="B45" s="159" t="s">
        <v>97</v>
      </c>
      <c r="C45" s="159" t="s">
        <v>73</v>
      </c>
      <c r="D45" s="159" t="s">
        <v>44</v>
      </c>
      <c r="E45" s="159" t="s">
        <v>112</v>
      </c>
      <c r="F45" s="159" t="str">
        <f>+VLOOKUP(A45,'Estado SCI'!$A$16:$I$59,9,0)</f>
        <v>Mantenimiento del control</v>
      </c>
      <c r="G45" s="159">
        <f>+VLOOKUP(A45,'Estado SCI'!$A$16:$L$59,12,0)</f>
        <v>120.851234567891</v>
      </c>
      <c r="H45" s="159">
        <f t="shared" si="0"/>
        <v>44</v>
      </c>
      <c r="I45" s="159" t="str">
        <f>+IF(VLOOKUP(A45,'Estado SCI'!$A$16:$G$59,7,0)="","",VLOOKUP(A45,'Estado SCI'!$A$16:$G$59,7,0))</f>
        <v>Si</v>
      </c>
      <c r="J45" s="160">
        <f t="shared" si="2"/>
        <v>1</v>
      </c>
      <c r="K45" s="161">
        <f t="shared" si="1"/>
        <v>0.55000000000000004</v>
      </c>
    </row>
  </sheetData>
  <sheetProtection algorithmName="SHA-512" hashValue="eXgkKlTi9xJKAI7t6Aeb2RaFpkfyF43pI2BIhtxDc7hsl0SqLK8I4Wc7jbZwC5kw3uyIHOBIUXRnh5cC70LKYA==" saltValue="AxKzX6Ar80vT7acQV8rFpQ==" spinCount="100000" sheet="1" objects="1" scenarios="1" selectLockedCells="1"/>
  <autoFilter ref="A1:K45"/>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Instructivo</vt:lpstr>
      <vt:lpstr>Estado SCI</vt:lpstr>
      <vt:lpstr>Análisis Resultados</vt:lpstr>
      <vt:lpstr>Conclusión</vt:lpstr>
      <vt:lpstr>Hoja1</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Sala Juntas Piso 6</dc:creator>
  <cp:keywords/>
  <dc:description/>
  <cp:lastModifiedBy>ALUMNO</cp:lastModifiedBy>
  <cp:revision/>
  <cp:lastPrinted>2020-08-01T14:08:42Z</cp:lastPrinted>
  <dcterms:created xsi:type="dcterms:W3CDTF">2020-04-28T13:58:09Z</dcterms:created>
  <dcterms:modified xsi:type="dcterms:W3CDTF">2020-08-01T14:14:17Z</dcterms:modified>
  <cp:category/>
  <cp:contentStatus/>
</cp:coreProperties>
</file>